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edro.neves\Desktop\Pedro\SRP\Serviços\Planilha de Custos\Copeiro\"/>
    </mc:Choice>
  </mc:AlternateContent>
  <bookViews>
    <workbookView xWindow="0" yWindow="0" windowWidth="28800" windowHeight="12180" tabRatio="500" firstSheet="1" activeTab="2"/>
  </bookViews>
  <sheets>
    <sheet name="Custo por trabalhador" sheetId="1" state="hidden" r:id="rId1"/>
    <sheet name="Planilha de Custos" sheetId="2" r:id="rId2"/>
    <sheet name="Uniformes" sheetId="7" r:id="rId3"/>
    <sheet name="Materiais" sheetId="8" r:id="rId4"/>
  </sheets>
  <definedNames>
    <definedName name="Area_2">NA()</definedName>
    <definedName name="aREA1">NA()</definedName>
    <definedName name="area2">NA()</definedName>
    <definedName name="Area3">NA()</definedName>
    <definedName name="Area4">NA()</definedName>
    <definedName name="Excel_BuiltIn_Print_Area">NA()</definedName>
    <definedName name="Excel_BuiltIn_Print_Area_1">NA()</definedName>
    <definedName name="Excel_BuiltIn_Print_Area_2">NA()</definedName>
    <definedName name="Excel_um">NA()</definedName>
    <definedName name="Pintor">NA()</definedName>
    <definedName name="Pintor1">NA()</definedName>
    <definedName name="um">NA()</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56" i="2" l="1"/>
  <c r="C155" i="2"/>
  <c r="C157" i="2"/>
  <c r="C123" i="2" l="1"/>
  <c r="C124" i="2"/>
  <c r="J27" i="8"/>
  <c r="C122" i="2"/>
  <c r="C121" i="2"/>
  <c r="C5" i="8"/>
  <c r="G5" i="8" s="1"/>
  <c r="O4" i="8"/>
  <c r="O3" i="8"/>
  <c r="N4" i="8"/>
  <c r="N3" i="8"/>
  <c r="K36" i="8"/>
  <c r="L36" i="8" s="1"/>
  <c r="I36" i="8" s="1"/>
  <c r="G36" i="8"/>
  <c r="K35" i="8"/>
  <c r="L35" i="8" s="1"/>
  <c r="I35" i="8" s="1"/>
  <c r="G35" i="8"/>
  <c r="K34" i="8"/>
  <c r="L34" i="8" s="1"/>
  <c r="I34" i="8" s="1"/>
  <c r="G34" i="8"/>
  <c r="K33" i="8"/>
  <c r="L33" i="8" s="1"/>
  <c r="I33" i="8" s="1"/>
  <c r="G33" i="8"/>
  <c r="K32" i="8"/>
  <c r="L32" i="8" s="1"/>
  <c r="I32" i="8" s="1"/>
  <c r="G32" i="8"/>
  <c r="K31" i="8"/>
  <c r="L31" i="8" s="1"/>
  <c r="I31" i="8" s="1"/>
  <c r="G31" i="8"/>
  <c r="K30" i="8"/>
  <c r="L30" i="8" s="1"/>
  <c r="I30" i="8" s="1"/>
  <c r="C37" i="8" s="1"/>
  <c r="G37" i="8" s="1"/>
  <c r="G30" i="8"/>
  <c r="G27" i="8"/>
  <c r="I27" i="8" s="1"/>
  <c r="G26" i="8"/>
  <c r="I26" i="8" s="1"/>
  <c r="I25" i="8"/>
  <c r="G25" i="8"/>
  <c r="G24" i="8"/>
  <c r="I24" i="8" s="1"/>
  <c r="C28" i="8" s="1"/>
  <c r="G28" i="8" s="1"/>
  <c r="G21" i="8"/>
  <c r="I21" i="8" s="1"/>
  <c r="G20" i="8"/>
  <c r="I20" i="8" s="1"/>
  <c r="G19" i="8"/>
  <c r="I19" i="8" s="1"/>
  <c r="I18" i="8"/>
  <c r="C22" i="8" s="1"/>
  <c r="G22" i="8" s="1"/>
  <c r="G18" i="8"/>
  <c r="G15" i="8"/>
  <c r="I15" i="8" s="1"/>
  <c r="G14" i="8"/>
  <c r="I14" i="8" s="1"/>
  <c r="G13" i="8"/>
  <c r="I13" i="8" s="1"/>
  <c r="G12" i="8"/>
  <c r="I12" i="8" s="1"/>
  <c r="I11" i="8"/>
  <c r="G11" i="8"/>
  <c r="G10" i="8"/>
  <c r="I10" i="8" s="1"/>
  <c r="G9" i="8"/>
  <c r="I9" i="8" s="1"/>
  <c r="G8" i="8"/>
  <c r="I8" i="8" s="1"/>
  <c r="L4" i="8"/>
  <c r="M4" i="8" s="1"/>
  <c r="K4" i="8"/>
  <c r="G4" i="8"/>
  <c r="K3" i="8"/>
  <c r="L3" i="8" s="1"/>
  <c r="M3" i="8" s="1"/>
  <c r="G3" i="8"/>
  <c r="C16" i="8" l="1"/>
  <c r="G16" i="8" s="1"/>
  <c r="H6" i="7" l="1"/>
  <c r="I6" i="7" s="1"/>
  <c r="H5" i="7"/>
  <c r="I5" i="7" s="1"/>
  <c r="H4" i="7"/>
  <c r="I4" i="7" s="1"/>
  <c r="H3" i="7"/>
  <c r="I3" i="7" s="1"/>
  <c r="H2" i="7"/>
  <c r="I2" i="7" s="1"/>
  <c r="C113" i="2"/>
  <c r="I7" i="7" l="1"/>
  <c r="I8" i="7" s="1"/>
  <c r="C94" i="2" l="1"/>
  <c r="C71" i="2"/>
  <c r="C68" i="2"/>
  <c r="C58" i="2"/>
  <c r="C37" i="2" l="1"/>
  <c r="C36" i="2"/>
  <c r="C52" i="2" l="1"/>
  <c r="C126" i="2" l="1"/>
  <c r="C28" i="2"/>
  <c r="C416" i="1"/>
  <c r="C417" i="1" s="1"/>
  <c r="C411" i="1"/>
  <c r="B411" i="1"/>
  <c r="C410" i="1"/>
  <c r="B410" i="1"/>
  <c r="C409" i="1"/>
  <c r="B409" i="1"/>
  <c r="B416" i="1" s="1"/>
  <c r="B417" i="1" s="1"/>
  <c r="C403" i="1"/>
  <c r="C402" i="1"/>
  <c r="C394" i="1"/>
  <c r="C393" i="1"/>
  <c r="C392" i="1"/>
  <c r="C391" i="1"/>
  <c r="C390" i="1"/>
  <c r="C389" i="1"/>
  <c r="D378" i="1"/>
  <c r="C378" i="1"/>
  <c r="B378" i="1"/>
  <c r="C377" i="1"/>
  <c r="B377" i="1"/>
  <c r="D377" i="1" s="1"/>
  <c r="C376" i="1"/>
  <c r="D376" i="1" s="1"/>
  <c r="B376" i="1"/>
  <c r="C375" i="1"/>
  <c r="B375" i="1"/>
  <c r="D374" i="1"/>
  <c r="C413" i="1" s="1"/>
  <c r="C374" i="1"/>
  <c r="B374" i="1"/>
  <c r="C373" i="1"/>
  <c r="B373" i="1"/>
  <c r="C301" i="1"/>
  <c r="D300" i="1"/>
  <c r="B306" i="1" s="1"/>
  <c r="D306" i="1" s="1"/>
  <c r="C314" i="1" s="1"/>
  <c r="C300" i="1"/>
  <c r="B300" i="1"/>
  <c r="B299" i="1"/>
  <c r="D299" i="1" s="1"/>
  <c r="B305" i="1" s="1"/>
  <c r="D305" i="1" s="1"/>
  <c r="C313" i="1" s="1"/>
  <c r="B283" i="1"/>
  <c r="B282" i="1"/>
  <c r="B281" i="1"/>
  <c r="C279" i="1"/>
  <c r="C280" i="1" s="1"/>
  <c r="C281" i="1" s="1"/>
  <c r="B279" i="1"/>
  <c r="D279" i="1" s="1"/>
  <c r="B288" i="1" s="1"/>
  <c r="B278" i="1"/>
  <c r="D278" i="1" s="1"/>
  <c r="B287" i="1" s="1"/>
  <c r="D270" i="1"/>
  <c r="B270" i="1"/>
  <c r="B269" i="1"/>
  <c r="B268" i="1"/>
  <c r="D266" i="1"/>
  <c r="C265" i="1"/>
  <c r="B265" i="1"/>
  <c r="D262" i="1"/>
  <c r="B261" i="1"/>
  <c r="D260" i="1"/>
  <c r="B260" i="1"/>
  <c r="G254" i="1"/>
  <c r="E254" i="1"/>
  <c r="C270" i="1" s="1"/>
  <c r="G253" i="1"/>
  <c r="D269" i="1" s="1"/>
  <c r="F253" i="1"/>
  <c r="E253" i="1"/>
  <c r="C269" i="1" s="1"/>
  <c r="F252" i="1"/>
  <c r="G252" i="1" s="1"/>
  <c r="D268" i="1" s="1"/>
  <c r="E252" i="1"/>
  <c r="C268" i="1" s="1"/>
  <c r="G251" i="1"/>
  <c r="D267" i="1" s="1"/>
  <c r="E251" i="1"/>
  <c r="C267" i="1" s="1"/>
  <c r="G250" i="1"/>
  <c r="E250" i="1"/>
  <c r="G249" i="1"/>
  <c r="D265" i="1" s="1"/>
  <c r="E249" i="1"/>
  <c r="G248" i="1"/>
  <c r="D264" i="1" s="1"/>
  <c r="F248" i="1"/>
  <c r="E248" i="1"/>
  <c r="G247" i="1"/>
  <c r="D263" i="1" s="1"/>
  <c r="E247" i="1"/>
  <c r="C263" i="1" s="1"/>
  <c r="F246" i="1"/>
  <c r="G246" i="1" s="1"/>
  <c r="E246" i="1"/>
  <c r="C262" i="1" s="1"/>
  <c r="G245" i="1"/>
  <c r="D261" i="1" s="1"/>
  <c r="F245" i="1"/>
  <c r="E245" i="1"/>
  <c r="C261" i="1" s="1"/>
  <c r="G244" i="1"/>
  <c r="E244" i="1"/>
  <c r="C260" i="1" s="1"/>
  <c r="G243" i="1"/>
  <c r="D259" i="1" s="1"/>
  <c r="F243" i="1"/>
  <c r="E243" i="1"/>
  <c r="C259" i="1" s="1"/>
  <c r="C228" i="1"/>
  <c r="C217" i="1"/>
  <c r="C202" i="1"/>
  <c r="B187" i="1"/>
  <c r="E169" i="1"/>
  <c r="D169" i="1"/>
  <c r="C140" i="1"/>
  <c r="D140" i="1" s="1"/>
  <c r="B134" i="1"/>
  <c r="D134" i="1" s="1"/>
  <c r="B169" i="1" s="1"/>
  <c r="E130" i="1"/>
  <c r="C134" i="1" s="1"/>
  <c r="B130" i="1"/>
  <c r="E126" i="1"/>
  <c r="C113" i="1"/>
  <c r="C109" i="1"/>
  <c r="B105" i="1"/>
  <c r="D86" i="1"/>
  <c r="C86" i="1"/>
  <c r="C82" i="1"/>
  <c r="C78" i="1"/>
  <c r="F70" i="1"/>
  <c r="B70" i="1"/>
  <c r="C46" i="1"/>
  <c r="D45" i="1"/>
  <c r="C45" i="1"/>
  <c r="E45" i="1" s="1"/>
  <c r="D42" i="1"/>
  <c r="D46" i="1" s="1"/>
  <c r="C42" i="1"/>
  <c r="C41" i="1"/>
  <c r="D29" i="1"/>
  <c r="B41" i="1" s="1"/>
  <c r="E41" i="1" s="1"/>
  <c r="B50" i="1" s="1"/>
  <c r="D50" i="1" s="1"/>
  <c r="C29" i="1"/>
  <c r="C30" i="1" s="1"/>
  <c r="C31" i="1" s="1"/>
  <c r="D28" i="1"/>
  <c r="B21" i="1"/>
  <c r="D21" i="1" s="1"/>
  <c r="B20" i="1"/>
  <c r="D20" i="1" s="1"/>
  <c r="C70" i="1" s="1"/>
  <c r="C96" i="2" l="1"/>
  <c r="C95" i="2"/>
  <c r="C81" i="2"/>
  <c r="C77" i="2"/>
  <c r="C93" i="2"/>
  <c r="C62" i="2"/>
  <c r="C70" i="2" s="1"/>
  <c r="C92" i="2"/>
  <c r="C80" i="2"/>
  <c r="C82" i="2" s="1"/>
  <c r="C152" i="2"/>
  <c r="C78" i="2"/>
  <c r="D271" i="1"/>
  <c r="C32" i="1"/>
  <c r="D31" i="1"/>
  <c r="B148" i="1"/>
  <c r="B144" i="1"/>
  <c r="D144" i="1" s="1"/>
  <c r="C148" i="1" s="1"/>
  <c r="C282" i="1"/>
  <c r="C283" i="1" s="1"/>
  <c r="D283" i="1" s="1"/>
  <c r="B292" i="1" s="1"/>
  <c r="D281" i="1"/>
  <c r="B290" i="1" s="1"/>
  <c r="D30" i="1"/>
  <c r="D70" i="1" s="1"/>
  <c r="G70" i="1" s="1"/>
  <c r="B263" i="1"/>
  <c r="C266" i="1"/>
  <c r="B266" i="1"/>
  <c r="B259" i="1"/>
  <c r="B267" i="1"/>
  <c r="D375" i="1"/>
  <c r="D413" i="1" s="1"/>
  <c r="C264" i="1"/>
  <c r="C271" i="1" s="1"/>
  <c r="B264" i="1"/>
  <c r="D373" i="1"/>
  <c r="B413" i="1" s="1"/>
  <c r="B262" i="1"/>
  <c r="C148" i="2"/>
  <c r="C79" i="2" l="1"/>
  <c r="C83" i="2"/>
  <c r="C38" i="2"/>
  <c r="D45" i="2" s="1"/>
  <c r="D49" i="2"/>
  <c r="D51" i="2"/>
  <c r="C150" i="2"/>
  <c r="C98" i="2"/>
  <c r="C99" i="2" s="1"/>
  <c r="D48" i="2"/>
  <c r="D47" i="2"/>
  <c r="D50" i="2"/>
  <c r="C291" i="1"/>
  <c r="C288" i="1"/>
  <c r="D288" i="1" s="1"/>
  <c r="E288" i="1" s="1"/>
  <c r="B314" i="1" s="1"/>
  <c r="D314" i="1" s="1"/>
  <c r="B86" i="1"/>
  <c r="E86" i="1" s="1"/>
  <c r="B78" i="1"/>
  <c r="D78" i="1" s="1"/>
  <c r="D409" i="1"/>
  <c r="B82" i="1"/>
  <c r="D82" i="1" s="1"/>
  <c r="B271" i="1"/>
  <c r="D148" i="1"/>
  <c r="C169" i="1" s="1"/>
  <c r="F169" i="1" s="1"/>
  <c r="D175" i="1" s="1"/>
  <c r="D282" i="1"/>
  <c r="B291" i="1" s="1"/>
  <c r="C33" i="1"/>
  <c r="D33" i="1" s="1"/>
  <c r="D32" i="1"/>
  <c r="C292" i="1"/>
  <c r="D292" i="1" s="1"/>
  <c r="E292" i="1" s="1"/>
  <c r="B318" i="1" s="1"/>
  <c r="D318" i="1" s="1"/>
  <c r="C289" i="1"/>
  <c r="D44" i="2" l="1"/>
  <c r="D46" i="2"/>
  <c r="C100" i="2"/>
  <c r="D52" i="2"/>
  <c r="C69" i="2" s="1"/>
  <c r="B394" i="1"/>
  <c r="D394" i="1" s="1"/>
  <c r="B403" i="1" s="1"/>
  <c r="D403" i="1" s="1"/>
  <c r="D415" i="1" s="1"/>
  <c r="C290" i="1"/>
  <c r="D290" i="1" s="1"/>
  <c r="E290" i="1" s="1"/>
  <c r="B316" i="1" s="1"/>
  <c r="D316" i="1" s="1"/>
  <c r="C287" i="1"/>
  <c r="D287" i="1" s="1"/>
  <c r="E287" i="1" s="1"/>
  <c r="B313" i="1" s="1"/>
  <c r="D313" i="1" s="1"/>
  <c r="B90" i="1"/>
  <c r="E90" i="1" s="1"/>
  <c r="B224" i="1"/>
  <c r="D291" i="1"/>
  <c r="E291" i="1" s="1"/>
  <c r="B317" i="1" s="1"/>
  <c r="D317" i="1" s="1"/>
  <c r="C224" i="1"/>
  <c r="C90" i="1"/>
  <c r="B46" i="1"/>
  <c r="E46" i="1" s="1"/>
  <c r="C51" i="1" s="1"/>
  <c r="B42" i="1"/>
  <c r="E42" i="1" s="1"/>
  <c r="B51" i="1" s="1"/>
  <c r="D90" i="1"/>
  <c r="D224" i="1"/>
  <c r="B390" i="1"/>
  <c r="D390" i="1" s="1"/>
  <c r="C414" i="1" s="1"/>
  <c r="C412" i="1"/>
  <c r="C115" i="2" l="1"/>
  <c r="C151" i="2" s="1"/>
  <c r="C149" i="2"/>
  <c r="C153" i="2" s="1"/>
  <c r="B175" i="1"/>
  <c r="B113" i="1"/>
  <c r="D113" i="1" s="1"/>
  <c r="B109" i="1"/>
  <c r="D109" i="1" s="1"/>
  <c r="B117" i="1" s="1"/>
  <c r="B392" i="1"/>
  <c r="D392" i="1" s="1"/>
  <c r="B401" i="1"/>
  <c r="D401" i="1" s="1"/>
  <c r="B415" i="1" s="1"/>
  <c r="B412" i="1"/>
  <c r="B389" i="1"/>
  <c r="D389" i="1" s="1"/>
  <c r="B414" i="1" s="1"/>
  <c r="B393" i="1"/>
  <c r="D393" i="1" s="1"/>
  <c r="B402" i="1" s="1"/>
  <c r="D402" i="1" s="1"/>
  <c r="C415" i="1" s="1"/>
  <c r="D51" i="1"/>
  <c r="E224" i="1"/>
  <c r="B228" i="1" s="1"/>
  <c r="D228" i="1" s="1"/>
  <c r="D234" i="1" s="1"/>
  <c r="D132" i="2" l="1"/>
  <c r="D133" i="2" s="1"/>
  <c r="D137" i="2" s="1"/>
  <c r="C117" i="1"/>
  <c r="D117" i="1" s="1"/>
  <c r="C175" i="1" s="1"/>
  <c r="E175" i="1" s="1"/>
  <c r="B213" i="1"/>
  <c r="D213" i="1" s="1"/>
  <c r="B198" i="1"/>
  <c r="D198" i="1" s="1"/>
  <c r="D141" i="2" l="1"/>
  <c r="D138" i="2"/>
  <c r="D134" i="2"/>
  <c r="D142" i="2" s="1"/>
  <c r="C154" i="2" s="1"/>
  <c r="D410" i="1"/>
  <c r="B194" i="1"/>
  <c r="D194" i="1" s="1"/>
  <c r="B202" i="1" s="1"/>
  <c r="D202" i="1" s="1"/>
  <c r="B234" i="1" s="1"/>
  <c r="B209" i="1"/>
  <c r="D209" i="1" s="1"/>
  <c r="B217" i="1" s="1"/>
  <c r="D217" i="1" s="1"/>
  <c r="C234" i="1" s="1"/>
  <c r="E234" i="1" l="1"/>
  <c r="D411" i="1" l="1"/>
  <c r="B280" i="1"/>
  <c r="D280" i="1" s="1"/>
  <c r="B289" i="1" s="1"/>
  <c r="D289" i="1" s="1"/>
  <c r="E289" i="1" s="1"/>
  <c r="B315" i="1" s="1"/>
  <c r="D315" i="1" s="1"/>
  <c r="D412" i="1" s="1"/>
  <c r="B301" i="1"/>
  <c r="D301" i="1" s="1"/>
  <c r="B307" i="1" s="1"/>
  <c r="D307" i="1" s="1"/>
  <c r="C315" i="1" s="1"/>
  <c r="B391" i="1" l="1"/>
  <c r="D391" i="1" s="1"/>
  <c r="D414" i="1" s="1"/>
  <c r="D416" i="1" s="1"/>
  <c r="D417" i="1" s="1"/>
</calcChain>
</file>

<file path=xl/comments1.xml><?xml version="1.0" encoding="utf-8"?>
<comments xmlns="http://schemas.openxmlformats.org/spreadsheetml/2006/main">
  <authors>
    <author/>
  </authors>
  <commentList>
    <comment ref="B12" authorId="0" shapeId="0">
      <text>
        <r>
          <rPr>
            <sz val="11"/>
            <color rgb="FF000000"/>
            <rFont val="Calibri"/>
            <family val="2"/>
            <charset val="1"/>
          </rPr>
          <t xml:space="preserve">Seges: </t>
        </r>
        <r>
          <rPr>
            <sz val="9"/>
            <color rgb="FF000000"/>
            <rFont val="Segoe UI"/>
            <family val="2"/>
            <charset val="1"/>
          </rPr>
          <t xml:space="preserve">Informar salário base conforme Convenção Coletiva de Trabalho vigente para a categoria e no município de prestação do serviço.
</t>
        </r>
      </text>
    </comment>
    <comment ref="C20" authorId="0" shapeId="0">
      <text>
        <r>
          <rPr>
            <sz val="11"/>
            <color rgb="FF000000"/>
            <rFont val="Calibri"/>
            <family val="2"/>
            <charset val="1"/>
          </rPr>
          <t xml:space="preserve">Seges: </t>
        </r>
        <r>
          <rPr>
            <sz val="9"/>
            <color rgb="FF000000"/>
            <rFont val="Segoe UI"/>
            <family val="2"/>
            <charset val="1"/>
          </rPr>
          <t xml:space="preserve">Percentual conforme definido em CCT, se houver gratificação de função.
</t>
        </r>
      </text>
    </comment>
    <comment ref="C28" authorId="0" shapeId="0">
      <text>
        <r>
          <rPr>
            <sz val="11"/>
            <color rgb="FF000000"/>
            <rFont val="Calibri"/>
            <family val="2"/>
            <charset val="1"/>
          </rPr>
          <t xml:space="preserve">Seges: </t>
        </r>
        <r>
          <rPr>
            <sz val="9"/>
            <color rgb="FF000000"/>
            <rFont val="Segoe UI"/>
            <family val="2"/>
            <charset val="1"/>
          </rPr>
          <t>Percentual conforme definido em CCT, quando houver adicional de periculosidade ou insabubridade</t>
        </r>
      </text>
    </comment>
    <comment ref="C41" authorId="0" shapeId="0">
      <text>
        <r>
          <rPr>
            <sz val="11"/>
            <color rgb="FF000000"/>
            <rFont val="Calibri"/>
            <family val="2"/>
            <charset val="1"/>
          </rPr>
          <t xml:space="preserve">Seges: </t>
        </r>
        <r>
          <rPr>
            <sz val="9"/>
            <color rgb="FF000000"/>
            <rFont val="Segoe UI"/>
            <family val="2"/>
            <charset val="1"/>
          </rPr>
          <t xml:space="preserve">Considera hora noturna de 22h às 5h do dia segunte, portanto 7 horas noturnas de uma jornada de 12h. </t>
        </r>
      </text>
    </comment>
    <comment ref="C45" authorId="0" shapeId="0">
      <text>
        <r>
          <rPr>
            <sz val="11"/>
            <color rgb="FF000000"/>
            <rFont val="Calibri"/>
            <family val="2"/>
            <charset val="1"/>
          </rPr>
          <t xml:space="preserve">Seges:
</t>
        </r>
        <r>
          <rPr>
            <sz val="9"/>
            <color rgb="FF000000"/>
            <rFont val="Segoe UI"/>
            <family val="2"/>
            <charset val="1"/>
          </rPr>
          <t xml:space="preserve">A título de pagamento adicional computa-se o pagamento de 7min e 30 s a cada hora noturna, por 7 horas, totalizando 52min e 30 s, que significa 1 hora da jornada de 12h.
</t>
        </r>
      </text>
    </comment>
    <comment ref="D45" authorId="0" shapeId="0">
      <text>
        <r>
          <rPr>
            <sz val="11"/>
            <color rgb="FF000000"/>
            <rFont val="Calibri"/>
            <family val="2"/>
            <charset val="1"/>
          </rPr>
          <t>Seges:</t>
        </r>
        <r>
          <rPr>
            <sz val="9"/>
            <color rgb="FF000000"/>
            <rFont val="Segoe UI"/>
            <family val="2"/>
            <charset val="1"/>
          </rPr>
          <t xml:space="preserve"> Por tratar-se de hora considerada a mais, calcula-se pagamento de 100% da hora, acrescida do respectivo adicional noturno.</t>
        </r>
      </text>
    </comment>
    <comment ref="A48" authorId="0" shapeId="0">
      <text>
        <r>
          <rPr>
            <sz val="11"/>
            <color rgb="FF000000"/>
            <rFont val="Calibri"/>
            <family val="2"/>
            <charset val="1"/>
          </rPr>
          <t xml:space="preserve">Seges: </t>
        </r>
        <r>
          <rPr>
            <sz val="9"/>
            <color rgb="FF000000"/>
            <rFont val="Segoe UI"/>
            <family val="2"/>
            <charset val="1"/>
          </rPr>
          <t>Tabela resumo da totalização do Adicional noturno.
Automatizada, desde que não haja alterações de fórmulas ou estrutura da planilha.</t>
        </r>
      </text>
    </comment>
    <comment ref="A68" authorId="0" shapeId="0">
      <text>
        <r>
          <rPr>
            <sz val="11"/>
            <color rgb="FF000000"/>
            <rFont val="Calibri"/>
            <family val="2"/>
            <charset val="1"/>
          </rPr>
          <t xml:space="preserve">Seges: </t>
        </r>
        <r>
          <rPr>
            <sz val="9"/>
            <color rgb="FF000000"/>
            <rFont val="Segoe UI"/>
            <family val="2"/>
            <charset val="1"/>
          </rPr>
          <t xml:space="preserve">Automatizada, desde que não haja alterações de fórmulas ou estrutura da planilha.
</t>
        </r>
      </text>
    </comment>
    <comment ref="C77" authorId="0" shapeId="0">
      <text>
        <r>
          <rPr>
            <sz val="11"/>
            <color rgb="FF000000"/>
            <rFont val="Calibri"/>
            <family val="2"/>
            <charset val="1"/>
          </rPr>
          <t xml:space="preserve">Seges: </t>
        </r>
        <r>
          <rPr>
            <sz val="9"/>
            <color rgb="FF000000"/>
            <rFont val="Segoe UI"/>
            <family val="2"/>
            <charset val="1"/>
          </rPr>
          <t>Por tratar-se de planilha mensal será contabilizado 1/12 avos do custo.</t>
        </r>
      </text>
    </comment>
    <comment ref="A80" authorId="0" shapeId="0">
      <text>
        <r>
          <rPr>
            <sz val="11"/>
            <color rgb="FF000000"/>
            <rFont val="Calibri"/>
            <family val="2"/>
            <charset val="1"/>
          </rPr>
          <t xml:space="preserve">Seges: </t>
        </r>
        <r>
          <rPr>
            <sz val="9"/>
            <color rgb="FF000000"/>
            <rFont val="Segoe UI"/>
            <family val="2"/>
            <charset val="1"/>
          </rPr>
          <t xml:space="preserve">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t>
        </r>
      </text>
    </comment>
    <comment ref="A88" authorId="0" shapeId="0">
      <text>
        <r>
          <rPr>
            <sz val="11"/>
            <color rgb="FF000000"/>
            <rFont val="Calibri"/>
            <family val="2"/>
            <charset val="1"/>
          </rPr>
          <t xml:space="preserve">Seges: </t>
        </r>
        <r>
          <rPr>
            <sz val="9"/>
            <color rgb="FF000000"/>
            <rFont val="Segoe UI"/>
            <family val="2"/>
            <charset val="1"/>
          </rPr>
          <t xml:space="preserve">apenas totaliza a previsão mensal de custos com 13° Salário, Férias e Adicional de Férias.
</t>
        </r>
      </text>
    </comment>
    <comment ref="B99" authorId="0" shapeId="0">
      <text>
        <r>
          <rPr>
            <sz val="11"/>
            <color rgb="FF000000"/>
            <rFont val="Calibri"/>
            <family val="2"/>
            <charset val="1"/>
          </rPr>
          <t xml:space="preserve">Seges: </t>
        </r>
        <r>
          <rPr>
            <sz val="9"/>
            <color rgb="FF000000"/>
            <rFont val="Segoe UI"/>
            <family val="2"/>
            <charset val="1"/>
          </rPr>
          <t xml:space="preserve">Informar o percentual adequado à categoria profissional a ser contratada para a prestação do serviço.
</t>
        </r>
      </text>
    </comment>
    <comment ref="A115" authorId="0" shapeId="0">
      <text>
        <r>
          <rPr>
            <sz val="11"/>
            <color rgb="FF000000"/>
            <rFont val="Calibri"/>
            <family val="2"/>
            <charset val="1"/>
          </rPr>
          <t xml:space="preserve">Seges: </t>
        </r>
        <r>
          <rPr>
            <sz val="9"/>
            <color rgb="FF000000"/>
            <rFont val="Segoe UI"/>
            <family val="2"/>
            <charset val="1"/>
          </rPr>
          <t xml:space="preserve">Totalização dos Encargos. Automatizada, desde que não haja alteração nas fórmulas e estrutura da planilha.
</t>
        </r>
      </text>
    </comment>
    <comment ref="B125" authorId="0" shapeId="0">
      <text>
        <r>
          <rPr>
            <sz val="11"/>
            <color rgb="FF000000"/>
            <rFont val="Calibri"/>
            <family val="2"/>
            <charset val="1"/>
          </rPr>
          <t xml:space="preserve">Seges: </t>
        </r>
        <r>
          <rPr>
            <sz val="9"/>
            <color rgb="FF000000"/>
            <rFont val="Segoe UI"/>
            <family val="2"/>
            <charset val="1"/>
          </rPr>
          <t xml:space="preserve">Valor da tarifa de transporte público praticada no município de prestação do serviço.
</t>
        </r>
      </text>
    </comment>
    <comment ref="C129" authorId="0" shapeId="0">
      <text>
        <r>
          <rPr>
            <sz val="11"/>
            <color rgb="FF000000"/>
            <rFont val="Calibri"/>
            <family val="2"/>
            <charset val="1"/>
          </rPr>
          <t xml:space="preserve">Seges: exemplificativo... </t>
        </r>
        <r>
          <rPr>
            <sz val="9"/>
            <color rgb="FF000000"/>
            <rFont val="Segoe UI"/>
            <family val="2"/>
            <charset val="1"/>
          </rPr>
          <t xml:space="preserve">O desconto poderá ser proporcional, conforme disposto no art. 10 do Decreto n° 95.247, de 1987.
O órgão contatante deverá apreciar o comportamento das empresas prestadoras de
 serviço e ajustar, conforme necessidade.
</t>
        </r>
      </text>
    </comment>
    <comment ref="B139" authorId="0" shapeId="0">
      <text>
        <r>
          <rPr>
            <sz val="11"/>
            <color rgb="FF000000"/>
            <rFont val="Calibri"/>
            <family val="2"/>
            <charset val="1"/>
          </rPr>
          <t xml:space="preserve">Seges: </t>
        </r>
        <r>
          <rPr>
            <sz val="9"/>
            <color rgb="FF000000"/>
            <rFont val="Segoe UI"/>
            <family val="2"/>
            <charset val="1"/>
          </rPr>
          <t xml:space="preserve">Conforme estabelecido em Convenção Coletiva de Trabalho
</t>
        </r>
      </text>
    </comment>
    <comment ref="C143" authorId="0" shapeId="0">
      <text>
        <r>
          <rPr>
            <sz val="11"/>
            <color rgb="FF000000"/>
            <rFont val="Calibri"/>
            <family val="2"/>
            <charset val="1"/>
          </rPr>
          <t xml:space="preserve">Seges: </t>
        </r>
        <r>
          <rPr>
            <sz val="9"/>
            <color rgb="FF000000"/>
            <rFont val="Segoe UI"/>
            <family val="2"/>
            <charset val="1"/>
          </rPr>
          <t xml:space="preserve">Observar desconto informado em Convenção Coletiva.
</t>
        </r>
      </text>
    </comment>
    <comment ref="A167" authorId="0" shapeId="0">
      <text>
        <r>
          <rPr>
            <sz val="11"/>
            <color rgb="FF000000"/>
            <rFont val="Calibri"/>
            <family val="2"/>
            <charset val="1"/>
          </rPr>
          <t xml:space="preserve">Seges: </t>
        </r>
        <r>
          <rPr>
            <sz val="9"/>
            <color rgb="FF000000"/>
            <rFont val="Segoe UI"/>
            <family val="2"/>
            <charset val="1"/>
          </rPr>
          <t>Apenas totaliza os custos efetivos com benefícios mensais do trabalhador.
Automatizada, desde que não haja alteração de fórmulas ou estrutura da planilha</t>
        </r>
      </text>
    </comment>
    <comment ref="A173" authorId="0" shapeId="0">
      <text>
        <r>
          <rPr>
            <sz val="11"/>
            <color rgb="FF000000"/>
            <rFont val="Calibri"/>
            <family val="2"/>
            <charset val="1"/>
          </rPr>
          <t xml:space="preserve">Seges: </t>
        </r>
        <r>
          <rPr>
            <sz val="9"/>
            <color rgb="FF000000"/>
            <rFont val="Segoe UI"/>
            <family val="2"/>
            <charset val="1"/>
          </rPr>
          <t xml:space="preserve">Totaliza o módulo 2, com somatória de 13° salário, férias, adicional, encargos e benefícios.
</t>
        </r>
      </text>
    </comment>
    <comment ref="B183" authorId="0" shapeId="0">
      <text>
        <r>
          <rPr>
            <sz val="11"/>
            <color rgb="FF000000"/>
            <rFont val="Calibri"/>
            <family val="2"/>
            <charset val="1"/>
          </rPr>
          <t xml:space="preserve">Seges: exemplificativo
</t>
        </r>
        <r>
          <rPr>
            <sz val="9"/>
            <color rgb="FF000000"/>
            <rFont val="Segoe UI"/>
            <family val="2"/>
            <charset val="1"/>
          </rPr>
          <t xml:space="preserve">Para o modelo utiliza-se probabilidade de 45% de API e 55% de APT. Observar fórmula.
O percentual de probabilidade de ocorrência deverá ser avaliado pelo órgão contratante, mediante histórico das contratações, ajustando a planilha ao caso em concreto.
</t>
        </r>
      </text>
    </comment>
    <comment ref="A232" authorId="0" shapeId="0">
      <text>
        <r>
          <rPr>
            <sz val="11"/>
            <color rgb="FF000000"/>
            <rFont val="Calibri"/>
            <family val="2"/>
            <charset val="1"/>
          </rPr>
          <t xml:space="preserve">Seges:
</t>
        </r>
        <r>
          <rPr>
            <sz val="9"/>
            <color rgb="FF000000"/>
            <rFont val="Segoe UI"/>
            <family val="2"/>
            <charset val="1"/>
          </rPr>
          <t>Totaliza o custo estimado a ser provisionado mensalmente. Está automatizada, desde que não haja alteração de fórmulas e/ou estrutura da planilha.</t>
        </r>
      </text>
    </comment>
    <comment ref="B241" authorId="0" shapeId="0">
      <text>
        <r>
          <rPr>
            <sz val="11"/>
            <color rgb="FF000000"/>
            <rFont val="Calibri"/>
            <family val="2"/>
            <charset val="1"/>
          </rPr>
          <t xml:space="preserve">Seges: </t>
        </r>
        <r>
          <rPr>
            <sz val="9"/>
            <color rgb="FF000000"/>
            <rFont val="Segoe UI"/>
            <family val="2"/>
            <charset val="1"/>
          </rPr>
          <t xml:space="preserve">Probabilidade de ocorrência de ausência do profissional residente quando será necessária a presença de um repositor. O órgão deverá observar o histórico das contratações anteriores para estimar tais probabilidades.
</t>
        </r>
      </text>
    </comment>
    <comment ref="C241" authorId="0" shapeId="0">
      <text>
        <r>
          <rPr>
            <sz val="11"/>
            <color rgb="FF000000"/>
            <rFont val="Calibri"/>
            <family val="2"/>
            <charset val="1"/>
          </rPr>
          <t xml:space="preserve">Segesl: </t>
        </r>
        <r>
          <rPr>
            <sz val="9"/>
            <color rgb="FF000000"/>
            <rFont val="Segoe UI"/>
            <family val="2"/>
            <charset val="1"/>
          </rPr>
          <t xml:space="preserve">Duração computada em dias, conforme previsão em legislação.
</t>
        </r>
      </text>
    </comment>
    <comment ref="A256" authorId="0" shapeId="0">
      <text>
        <r>
          <rPr>
            <sz val="11"/>
            <color rgb="FF000000"/>
            <rFont val="Calibri"/>
            <family val="2"/>
            <charset val="1"/>
          </rPr>
          <t xml:space="preserve">Seges: </t>
        </r>
        <r>
          <rPr>
            <sz val="9"/>
            <color rgb="FF000000"/>
            <rFont val="Segoe UI"/>
            <family val="2"/>
            <charset val="1"/>
          </rPr>
          <t>Esta tabela apresenta o resumo dos dias prováveis de ausência, quando seria necessária a presença de um profissional repositor.
Seu cálculo está automatizado mediante preenchimento da tabela anterior.</t>
        </r>
      </text>
    </comment>
    <comment ref="A259" authorId="0" shapeId="0">
      <text>
        <r>
          <rPr>
            <sz val="11"/>
            <color rgb="FF000000"/>
            <rFont val="Calibri"/>
            <family val="2"/>
            <charset val="1"/>
          </rPr>
          <t xml:space="preserve">Seges: </t>
        </r>
        <r>
          <rPr>
            <sz val="9"/>
            <color rgb="FF000000"/>
            <rFont val="Segoe UI"/>
            <family val="2"/>
            <charset val="1"/>
          </rPr>
          <t xml:space="preserve">este ítem destina-se ao cálculo do custo do empregado substituto que virá cobrir o período de férias do residente, portanto, não se confunde com o direito ao pagamento de férias daquele.
Desde que não haja alteração de fórmulas e/ou estrutura da planilha.
</t>
        </r>
      </text>
    </comment>
    <comment ref="A285" authorId="0" shapeId="0">
      <text>
        <r>
          <rPr>
            <sz val="11"/>
            <color rgb="FF000000"/>
            <rFont val="Calibri"/>
            <family val="2"/>
            <charset val="1"/>
          </rPr>
          <t xml:space="preserve">Seges: </t>
        </r>
        <r>
          <rPr>
            <sz val="9"/>
            <color rgb="FF000000"/>
            <rFont val="Segoe UI"/>
            <family val="2"/>
            <charset val="1"/>
          </rPr>
          <t xml:space="preserve">Tabela automatizada para cálculo do custo mensal com reposição do profissional ausente, mediante preenchimento das anteriores. Desde que não haja alteração de fórmulas e/ou estrutura da planilha.
</t>
        </r>
      </text>
    </comment>
    <comment ref="A311" authorId="0" shapeId="0">
      <text>
        <r>
          <rPr>
            <sz val="11"/>
            <color rgb="FF000000"/>
            <rFont val="Calibri"/>
            <family val="2"/>
            <charset val="1"/>
          </rPr>
          <t>Seges:</t>
        </r>
        <r>
          <rPr>
            <sz val="9"/>
            <color rgb="FF000000"/>
            <rFont val="Segoe UI"/>
            <family val="2"/>
            <charset val="1"/>
          </rPr>
          <t xml:space="preserve"> Esta tabela totaliza os custos com reposição de profissional ausente e está automatizada mediante preenchimento das anteriores. Desde que não haja alteração de fórmulas e/ou estrutura da planilha.</t>
        </r>
      </text>
    </comment>
    <comment ref="D323" authorId="0" shapeId="0">
      <text>
        <r>
          <rPr>
            <sz val="11"/>
            <color rgb="FF000000"/>
            <rFont val="Calibri"/>
            <family val="2"/>
            <charset val="1"/>
          </rPr>
          <t>Seges:</t>
        </r>
        <r>
          <rPr>
            <sz val="9"/>
            <color rgb="FF000000"/>
            <rFont val="Segoe UI"/>
            <family val="2"/>
            <charset val="1"/>
          </rPr>
          <t xml:space="preserve"> todos os itens relacionados a insumos deverão ser objeto de pesquisa de preços conforme diretrizes da Instrução Normativa específica (IN n° 3, de 20 de abril de 2017).
</t>
        </r>
      </text>
    </comment>
    <comment ref="A382" authorId="0" shapeId="0">
      <text>
        <r>
          <rPr>
            <sz val="11"/>
            <color rgb="FF000000"/>
            <rFont val="Calibri"/>
            <family val="2"/>
            <charset val="1"/>
          </rPr>
          <t xml:space="preserve">Seges: </t>
        </r>
        <r>
          <rPr>
            <sz val="9"/>
            <color rgb="FF000000"/>
            <rFont val="Segoe UI"/>
            <family val="2"/>
            <charset val="1"/>
          </rPr>
          <t xml:space="preserve">Nesta tabela poderão ser informados os percentuais previstos de Custos Indiretos, Tributos e Lucro separadamente para permitir o cálculo automático segundo metodologia Seges. Desde que não haja alteração de modelo da planilha e de fórmulas.
</t>
        </r>
      </text>
    </comment>
    <comment ref="A407" authorId="0" shapeId="0">
      <text>
        <r>
          <rPr>
            <sz val="11"/>
            <color rgb="FF000000"/>
            <rFont val="Calibri"/>
            <family val="2"/>
            <charset val="1"/>
          </rPr>
          <t xml:space="preserve">Seges: </t>
        </r>
        <r>
          <rPr>
            <sz val="9"/>
            <color rgb="FF000000"/>
            <rFont val="Segoe UI"/>
            <family val="2"/>
            <charset val="1"/>
          </rPr>
          <t>Esta tabela totaliza o custo do trabalhador e está automatizada, desde que não haja alteração nas formulas e no modelo da presente planilha. Ajustes necessários são responsailidade do órgão contratante, por quem deverão ser conferidos.</t>
        </r>
      </text>
    </comment>
  </commentList>
</comments>
</file>

<file path=xl/sharedStrings.xml><?xml version="1.0" encoding="utf-8"?>
<sst xmlns="http://schemas.openxmlformats.org/spreadsheetml/2006/main" count="751" uniqueCount="379">
  <si>
    <t>PLANILHA DE CUSTOS E FORMAÇÃO DE PREÇOS</t>
  </si>
  <si>
    <t xml:space="preserve">MODELO DE FORMAÇÃO DE CUSTO MENSAL PARA UM EMPREGADO </t>
  </si>
  <si>
    <t>*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t>
  </si>
  <si>
    <t>MÓDULO 1 - REMUNERAÇÃO</t>
  </si>
  <si>
    <t>* A remuneração é definida no art. 457 da Consolidação das Leis do Trabalho. 
* É composta por Salário Base, Adicionais (noturno, de insalubridade ou periculosidade) e gratificações, quando houver.</t>
  </si>
  <si>
    <t>SALÁRIO BASE</t>
  </si>
  <si>
    <t>* O Salário Base vem definido na Convenção Coletiva de Trabalho da categoria profissional a ser contratada para o objeto da prestação de serviço. 
* O contratante deverá observar se a CCT abrange o município de prestação de serviço e se está vigente.</t>
  </si>
  <si>
    <t>Motorista</t>
  </si>
  <si>
    <t>Cargo B</t>
  </si>
  <si>
    <t>GRATIFICAÇÃO DE FUNÇÃO</t>
  </si>
  <si>
    <t>* Gratificação de função, quando houver, virá informada na Convenção Coletiva de Trabalho da categoria profissional a ser contratada. 
* O órgão contrantante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t>
  </si>
  <si>
    <t>Categoria</t>
  </si>
  <si>
    <t>Base de cálculo</t>
  </si>
  <si>
    <t>Percentual</t>
  </si>
  <si>
    <t>Valor da Gratificação</t>
  </si>
  <si>
    <t>ADICIONAIS (periculosidade ou insalubridade, se houver)</t>
  </si>
  <si>
    <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t>
  </si>
  <si>
    <t>ADICIONAL DE XXX</t>
  </si>
  <si>
    <t>Valor</t>
  </si>
  <si>
    <t>Cargo A (12x36 Diurno)</t>
  </si>
  <si>
    <t>Cargo A (12x36 Noturno)</t>
  </si>
  <si>
    <t>Cargo A Cargo A (44h semanais)</t>
  </si>
  <si>
    <t>Cargo B (12x36 Diurno)</t>
  </si>
  <si>
    <t>Cargo B (12x36 Noturno)</t>
  </si>
  <si>
    <t>Cargo B (44h semanais)</t>
  </si>
  <si>
    <t>ADICIONAL NOTURNO</t>
  </si>
  <si>
    <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</si>
  <si>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t>Base de Cálculo</t>
  </si>
  <si>
    <t>Proporção</t>
  </si>
  <si>
    <t>HORA NOTURNA REDUZIDA</t>
  </si>
  <si>
    <t>ADICIONAL POR TRABALHO NOTURNO</t>
  </si>
  <si>
    <t>Adicional Noturno</t>
  </si>
  <si>
    <t>Hora Noturna
Reduzida</t>
  </si>
  <si>
    <t>ADICIONAL XXX</t>
  </si>
  <si>
    <t>* Em caso de previsão de outros adicionais em Convenção Coletiva de Trabalho o órgão poderá utilizar este campo.</t>
  </si>
  <si>
    <t>Cargo A (44h semanais)</t>
  </si>
  <si>
    <t>Este quadro totaliza a remuneração devida ao trabalhador, conforme previsão da Consolidação das Leis do Trabalho e valores disponíveis na Convenção Coletiva para a categoria</t>
  </si>
  <si>
    <t>Salário Base</t>
  </si>
  <si>
    <t>Gratificação de função</t>
  </si>
  <si>
    <t>Adicional de Periculosidade ou Insalubridade</t>
  </si>
  <si>
    <t>Adicional XXX</t>
  </si>
  <si>
    <t>Total</t>
  </si>
  <si>
    <t>Motorista (44h semanais)</t>
  </si>
  <si>
    <t>MÓDULO 2 - ENCARGOS E BENEFÍCIOS (ANUAIS, MENSAIS E DIÁRIOS)</t>
  </si>
  <si>
    <t>SUBMÓDULO 2.1 – 13° SALÁRIO, FÉRIAS E ADICIONAL DE FÉRIAS</t>
  </si>
  <si>
    <t>13° SALÁRIO
Previsto no Decreto 57.155, de 1965.</t>
  </si>
  <si>
    <t>Provisionamento Mensal</t>
  </si>
  <si>
    <t>FÉRIAS
Previsto no art. 7° da Constituição Federal</t>
  </si>
  <si>
    <t>ADICIONAL DE FÉRIAS - 1/3 CONSTITUCIONAL</t>
  </si>
  <si>
    <t>Alíquota Adicional</t>
  </si>
  <si>
    <t>13° Salário</t>
  </si>
  <si>
    <t xml:space="preserve">Férias </t>
  </si>
  <si>
    <t>1/3 Constitucional</t>
  </si>
  <si>
    <t>SUBMÓDULO 2.2 - ENCARGOS PREVIDENCIÁRIOS E FGTS</t>
  </si>
  <si>
    <t>* Previsto no art. 195 da Constituição Federal. 
* Os percentuais informados não são taxativos e deverão observar o enquadramento real das empresas prestadoras de serviço, em especial no que diz respeito ao SAT-GIIL/RAT.</t>
  </si>
  <si>
    <t>COMPOSIÇÃO DO GPS E FGTS</t>
  </si>
  <si>
    <t>Encargos</t>
  </si>
  <si>
    <t>INSS - empregador</t>
  </si>
  <si>
    <t>Salário-Educação</t>
  </si>
  <si>
    <t>SAT- GIL/RAT</t>
  </si>
  <si>
    <t>RAT = 3,0 x FAP = 0,500/ IN 2110/2022</t>
  </si>
  <si>
    <t>SESC</t>
  </si>
  <si>
    <t>SENAC</t>
  </si>
  <si>
    <t>SEBRAE</t>
  </si>
  <si>
    <t>INCRA</t>
  </si>
  <si>
    <t>FGTS</t>
  </si>
  <si>
    <t>TOTAL</t>
  </si>
  <si>
    <t>GPS - GUIA DA PREVIDÊNCIA SOCIAL</t>
  </si>
  <si>
    <t>FGTS - FUNDO DE GARANTIA POR TEMPO DE SERVIÇO</t>
  </si>
  <si>
    <t>GPS</t>
  </si>
  <si>
    <t>SUBMÓDULO 2.3 - BENEFÍCIOS MENSAIS E DIÁRIOS</t>
  </si>
  <si>
    <t>*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</si>
  <si>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VALE TRANSPORTE</t>
  </si>
  <si>
    <t>CUSTO DA PASSAGEM</t>
  </si>
  <si>
    <t>Vr. Unitário</t>
  </si>
  <si>
    <t xml:space="preserve">Vales por dia </t>
  </si>
  <si>
    <t>Dias efetivamente trabalhados</t>
  </si>
  <si>
    <t>Custo total</t>
  </si>
  <si>
    <t>DESCONTO DO VALE TRANSPORTE</t>
  </si>
  <si>
    <t>Proporcionalidade</t>
  </si>
  <si>
    <t>Desconto</t>
  </si>
  <si>
    <t>CUSTO EFETIVO DO VALE TRANSPORTE</t>
  </si>
  <si>
    <t>Valor do desconto</t>
  </si>
  <si>
    <t>Custo efetivo</t>
  </si>
  <si>
    <t>VALE ALIMENTAÇÃO/REFEIÇÃO</t>
  </si>
  <si>
    <t>Valor diário</t>
  </si>
  <si>
    <t>DESCONTO DO VALE ALIMENTAÇÃO/REFEIÇÃO</t>
  </si>
  <si>
    <t>Parágrafo Sexto CCT – É vedado lançar na planilha de custo e formação de preços, por ocasião de licitações e contratações diretas, a dedução do percentual de 15% (quinze por cento) do que trata o parágrafo terceiro desta cláusula.</t>
  </si>
  <si>
    <t>CUSTO EFETIVO DO VALE ALIMENTAÇÃO/REFEIÇÃO</t>
  </si>
  <si>
    <r>
      <rPr>
        <b/>
        <sz val="12"/>
        <color rgb="FF000000"/>
        <rFont val="Times New Roman"/>
        <family val="1"/>
        <charset val="1"/>
      </rPr>
      <t xml:space="preserve">BENEFÍCIO XXX
</t>
    </r>
    <r>
      <rPr>
        <sz val="12"/>
        <color rgb="FFFF0000"/>
        <rFont val="Times New Roman"/>
        <family val="1"/>
        <charset val="1"/>
      </rPr>
      <t>Utilizar este campo em caso de outros benefícios previstos em Convenção Coletiva, sempre especificando o tipo, finalidade e previsão legal do mesmo.</t>
    </r>
  </si>
  <si>
    <t>BENEFÍCIO AUXÍLIO FUNERAL</t>
  </si>
  <si>
    <t>VALOR MENSAL</t>
  </si>
  <si>
    <r>
      <rPr>
        <b/>
        <sz val="12"/>
        <color rgb="FF000000"/>
        <rFont val="Times New Roman"/>
        <family val="1"/>
        <charset val="1"/>
      </rPr>
      <t xml:space="preserve">BENEFÍCIO YYY
</t>
    </r>
    <r>
      <rPr>
        <sz val="12"/>
        <color rgb="FFFF0000"/>
        <rFont val="Times New Roman"/>
        <family val="1"/>
        <charset val="1"/>
      </rPr>
      <t>Utilizar este campo em caso de outros benefícios previstos em Convenção Coletiva, sempre especificando o tipo, finalidade e previsão legal do mesmo.</t>
    </r>
  </si>
  <si>
    <t>BENEFÍCIO yyy</t>
  </si>
  <si>
    <t>Vale Transporte</t>
  </si>
  <si>
    <t>Vale Refeição</t>
  </si>
  <si>
    <t>Auxílio funeral</t>
  </si>
  <si>
    <t>Benefício y</t>
  </si>
  <si>
    <t>Submódulo 2.1</t>
  </si>
  <si>
    <t>Submódulo 2.2</t>
  </si>
  <si>
    <t>Submódulo 2.3</t>
  </si>
  <si>
    <t>MÓDULO 3 - PROVISÃO PARA RESCISÃO</t>
  </si>
  <si>
    <t>* Este módulo destina-se a calcular o custo de possível desligamento de um empregado vinculado ao contrato de prestação de seviços. 
* Na metodologia Seges calcula-se uma probabilidade de ocorrência, por tipos de desligamentos, como fator de ponderação do custo total.</t>
  </si>
  <si>
    <t>PERCENTUAIS POR TIPO DE
 DESLIGAMENTO</t>
  </si>
  <si>
    <t>Tipos</t>
  </si>
  <si>
    <t>Demissão 
SEM  justa Causa</t>
  </si>
  <si>
    <t>SEM justa Causa
AP INDENIZADO</t>
  </si>
  <si>
    <t>SEM justa Causa 
AP TRABALHADO</t>
  </si>
  <si>
    <t>Demissão
 COM  justa Causa</t>
  </si>
  <si>
    <t>Desligamentos 
OUTROS TIPOS</t>
  </si>
  <si>
    <t>SUBMÓDULO 3.1 - AVISO PRÉVIO INDENIZADO</t>
  </si>
  <si>
    <t>*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t>
  </si>
  <si>
    <t>AVISO PRÉVIO INDENIZADO</t>
  </si>
  <si>
    <t>MULTA DO FGTS E CONTRIBUIÇÃO SOCIAL SOBRE O AVISO PRÉVIO INDENIZADO</t>
  </si>
  <si>
    <t>Percentual da 
Multa</t>
  </si>
  <si>
    <t>SUBMÓDULO 3.1 - CUSTO DO AVISO PRÉVIO INDENIZADO</t>
  </si>
  <si>
    <t>SUBMÓDULO 3.2 - AVISO PRÉVIO TRABALHADO</t>
  </si>
  <si>
    <t>*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t>
  </si>
  <si>
    <t>AVISO PRÉVIO TRABALHADO</t>
  </si>
  <si>
    <t>MULTA DO FGTS E CONTRIBUIÇÃO SOCIAL SOBRE O AVISO PRÉVIO TRABALHADO</t>
  </si>
  <si>
    <t>SUBMÓDULO 3.2 - CUSTO DO AVISO PRÉVIO TRABALHADO</t>
  </si>
  <si>
    <t>SUBMÓDULO 3.3 - DEMISSÃO POR JUSTA CAUSA</t>
  </si>
  <si>
    <t>*Na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t>
  </si>
  <si>
    <t>BASE DE CÁLCULO PARA DEMISSÃO POR JUSTA CAUSA</t>
  </si>
  <si>
    <t>Valor provisionado do 13º Salário</t>
  </si>
  <si>
    <t>Valor provisionado das Férias</t>
  </si>
  <si>
    <t>Valor provisionado do Adicional de Férias</t>
  </si>
  <si>
    <t>SUBMÓDULO 3.3 - CUSTO DA DEMISSÃO COM JUSTA CAUSA</t>
  </si>
  <si>
    <t>Submódulo 3.1</t>
  </si>
  <si>
    <t>Submódulo 3.2</t>
  </si>
  <si>
    <t>Submódulo 3.3</t>
  </si>
  <si>
    <t>MÓDULO 4 - CUSTO DE REPOSIÇÃO DO PROFISSIONAL AUSENTE</t>
  </si>
  <si>
    <t>*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</si>
  <si>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Porobabilidade de ocorrência de ausências legais, conforme previsão do art. 473 da Consolidação das Leis do Trabalho.</t>
  </si>
  <si>
    <t xml:space="preserve">Memória de Cálculo - número de dias de reposição do profissional ausente para cada evento </t>
  </si>
  <si>
    <t>Incidencia anual</t>
  </si>
  <si>
    <t>Duração Legal  
da Ausência</t>
  </si>
  <si>
    <t>12x36</t>
  </si>
  <si>
    <t>44h</t>
  </si>
  <si>
    <t>Proporção dias afetados</t>
  </si>
  <si>
    <t>Dias de reposição</t>
  </si>
  <si>
    <t>Férias</t>
  </si>
  <si>
    <t>Ausência justificada</t>
  </si>
  <si>
    <t>Acidente trabalho</t>
  </si>
  <si>
    <t>Afastamento por doença</t>
  </si>
  <si>
    <t>Consulta médica filho</t>
  </si>
  <si>
    <t>Óbitos na família</t>
  </si>
  <si>
    <t>Casamento</t>
  </si>
  <si>
    <t>Doação de sangue</t>
  </si>
  <si>
    <t>Testemunho</t>
  </si>
  <si>
    <t>Paternidade</t>
  </si>
  <si>
    <t>Maternidade</t>
  </si>
  <si>
    <t>Consulta pré-natal</t>
  </si>
  <si>
    <t>ESTIMATIVA DA NECESSIDADE DE REPOSIÇÃO DE PROFISSIONAL</t>
  </si>
  <si>
    <t>Composição</t>
  </si>
  <si>
    <t>ESCALAS -  Cargo A</t>
  </si>
  <si>
    <t xml:space="preserve"> 12 x 36 D</t>
  </si>
  <si>
    <t>12 x 36 N</t>
  </si>
  <si>
    <t>44 SEM</t>
  </si>
  <si>
    <t>Total Para reposição</t>
  </si>
  <si>
    <t>SUBMÓDULO 4.1 - AUSÊNCIAS LEGAIS</t>
  </si>
  <si>
    <t>*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</si>
  <si>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CUSTO DIÁRIO PARA O REPOSITOR</t>
  </si>
  <si>
    <t>Divisor do dia</t>
  </si>
  <si>
    <t>Custo diário</t>
  </si>
  <si>
    <t>Necessidade de Reposição</t>
  </si>
  <si>
    <t>Custo anual</t>
  </si>
  <si>
    <t>Custo mensal</t>
  </si>
  <si>
    <t>SUBMÓDULO 4.2 - INTRAJORNADA</t>
  </si>
  <si>
    <t>*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</si>
  <si>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CUSTO POR HORA DO REPOSITOR</t>
  </si>
  <si>
    <t>divisor de hora</t>
  </si>
  <si>
    <t>Valor da hora</t>
  </si>
  <si>
    <t>Necessidade de Reposição (horas)</t>
  </si>
  <si>
    <t>Submódulo 4.1</t>
  </si>
  <si>
    <t>Submódulo 4.2</t>
  </si>
  <si>
    <t>MÓDULO 5 - INSUMOS DE MÃO DE OBRA</t>
  </si>
  <si>
    <t xml:space="preserve">UNIFORMES - COMPOSIÇÃO - VALOR ANUAL </t>
  </si>
  <si>
    <t>Item</t>
  </si>
  <si>
    <t>qte</t>
  </si>
  <si>
    <t>Vr. Unitario</t>
  </si>
  <si>
    <t>Calça</t>
  </si>
  <si>
    <t>Camisa</t>
  </si>
  <si>
    <t>Sapato</t>
  </si>
  <si>
    <t>especificar demais itens</t>
  </si>
  <si>
    <t xml:space="preserve">Custo anual por Pessoa  </t>
  </si>
  <si>
    <t>UNIFORMES</t>
  </si>
  <si>
    <t xml:space="preserve">Custo mensal </t>
  </si>
  <si>
    <t xml:space="preserve">Equipamentos  </t>
  </si>
  <si>
    <t>Descrição</t>
  </si>
  <si>
    <t>Cotação</t>
  </si>
  <si>
    <t>Duração dos itens 
(vida útil)</t>
  </si>
  <si>
    <t>12x36 h</t>
  </si>
  <si>
    <t>44 horas</t>
  </si>
  <si>
    <t xml:space="preserve">Valor total </t>
  </si>
  <si>
    <t>CUSTO MENSAL DOS EQUIPAMENTOS</t>
  </si>
  <si>
    <t>Valor por empregado</t>
  </si>
  <si>
    <t>Custo com Uniformes</t>
  </si>
  <si>
    <t>Custo com Equipamentos</t>
  </si>
  <si>
    <t>MÓDULO 6 - CUSTOS INDIRETOS, TRIBUTOS E LUCRO</t>
  </si>
  <si>
    <t>INFORMAÇÃO DE PERCENTUAIS ESTIMADOS DE CITL</t>
  </si>
  <si>
    <t>Custos Indiretos</t>
  </si>
  <si>
    <t>Tributos</t>
  </si>
  <si>
    <t>Lucro</t>
  </si>
  <si>
    <t>RATEIO DO Cargo B</t>
  </si>
  <si>
    <t>*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t>
  </si>
  <si>
    <t>RATEIO DA CHEFIA DE CAMPO</t>
  </si>
  <si>
    <t>Subordinados</t>
  </si>
  <si>
    <t>CUSTO DO TRABALHADOR</t>
  </si>
  <si>
    <t>CUSTO TOTAL POR TRABALHADOR</t>
  </si>
  <si>
    <t>Módulo</t>
  </si>
  <si>
    <t>12x36 Diurno</t>
  </si>
  <si>
    <t>12x36 Noturno</t>
  </si>
  <si>
    <t>44h Semanais</t>
  </si>
  <si>
    <t>Remuneração</t>
  </si>
  <si>
    <t>Encargos e Benefícios</t>
  </si>
  <si>
    <t>Rescisão</t>
  </si>
  <si>
    <t>Reposição do Profissional Ausente</t>
  </si>
  <si>
    <t>Insumos Diversos</t>
  </si>
  <si>
    <t>Custos Indiretos, Tributos e Lucro</t>
  </si>
  <si>
    <t>Rateio da Chefia de Campo</t>
  </si>
  <si>
    <t>Valor por Empregado</t>
  </si>
  <si>
    <t>Valor por Posto</t>
  </si>
  <si>
    <t>Discriminação dos Serviços</t>
  </si>
  <si>
    <t>A</t>
  </si>
  <si>
    <t>Data de apresentação da proposta</t>
  </si>
  <si>
    <t>B</t>
  </si>
  <si>
    <t>Município</t>
  </si>
  <si>
    <t>Macapá-AP</t>
  </si>
  <si>
    <t>C</t>
  </si>
  <si>
    <t>Ano do Acordo, Convenção ou Dissídio Coletivo</t>
  </si>
  <si>
    <t>D</t>
  </si>
  <si>
    <t>Nº de meses de execução contratual</t>
  </si>
  <si>
    <t>Identificação do Serviço</t>
  </si>
  <si>
    <t>Tipo de Serviço</t>
  </si>
  <si>
    <t>Unidade de Medida</t>
  </si>
  <si>
    <t>Quantidade</t>
  </si>
  <si>
    <t>Posto</t>
  </si>
  <si>
    <t>Módulo 1 - Composição da Remuneração</t>
  </si>
  <si>
    <t>Composição da Remuneração</t>
  </si>
  <si>
    <t>Valor (R$)</t>
  </si>
  <si>
    <t>Salário-Base</t>
  </si>
  <si>
    <t>Adicional de Periculosidade</t>
  </si>
  <si>
    <t>Adicional de Insalubridade</t>
  </si>
  <si>
    <t>E</t>
  </si>
  <si>
    <t>Adicional de Hora Noturna Reduzida</t>
  </si>
  <si>
    <t>G</t>
  </si>
  <si>
    <t>Outros (especificar)</t>
  </si>
  <si>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</si>
  <si>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</si>
  <si>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</si>
  <si>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</si>
  <si>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</si>
  <si>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t>
  </si>
  <si>
    <t>Submódulo 2.2 - Encargos Previdenciários (GPS), Fundo de Garantia por Tempo de Serviço (FGTS) e outras contribuições.</t>
  </si>
  <si>
    <t>2.2</t>
  </si>
  <si>
    <t>GPS, FGTS e outras contribuições</t>
  </si>
  <si>
    <t>Percentual (%)</t>
  </si>
  <si>
    <t>INSS</t>
  </si>
  <si>
    <t>Salário Educação</t>
  </si>
  <si>
    <t>SESC ou SESI</t>
  </si>
  <si>
    <t>SENAI - SENAC</t>
  </si>
  <si>
    <t>F</t>
  </si>
  <si>
    <t>H</t>
  </si>
  <si>
    <t xml:space="preserve">Total </t>
  </si>
  <si>
    <t>Submódulo 2.3 - Benefícios Mensais e Diários.</t>
  </si>
  <si>
    <t>2.3</t>
  </si>
  <si>
    <t>Benefícios Mensais e Diários</t>
  </si>
  <si>
    <t>Quadro-Resumo do Módulo 2 - Encargos e Benefícios anuais, mensais e diários</t>
  </si>
  <si>
    <t>Encargos e Benefícios Anuais, Mensais e Diários</t>
  </si>
  <si>
    <t>Módulo 3 - Provisão para Rescisão</t>
  </si>
  <si>
    <t>Provisão para Rescisão</t>
  </si>
  <si>
    <t>Módulo 4 - Custo de Reposição do Profissional Ausente</t>
  </si>
  <si>
    <t>Submódulo 4.1 - Ausências Legais</t>
  </si>
  <si>
    <t>4.1</t>
  </si>
  <si>
    <t>Ausências Legais</t>
  </si>
  <si>
    <t>Submódulo 4.2 - Intrajornada</t>
  </si>
  <si>
    <t>4.2</t>
  </si>
  <si>
    <t>Intrajornada</t>
  </si>
  <si>
    <t>Intervalo para repouso e alimentação</t>
  </si>
  <si>
    <t>Quadro-Resumo do Módulo 4 - Custo de Reposição do Profissional Ausente</t>
  </si>
  <si>
    <t>Custo de Reposição do Profissional Ausente</t>
  </si>
  <si>
    <t>Módulo 5 - Insumos Diversos</t>
  </si>
  <si>
    <t>Uniformes</t>
  </si>
  <si>
    <t>Equipamentos</t>
  </si>
  <si>
    <t>Módulo 6 - Custos Indiretos, Tributos e Lucro</t>
  </si>
  <si>
    <t>C.1. Tributos Federais (especificar)</t>
  </si>
  <si>
    <t>PIS</t>
  </si>
  <si>
    <t>COFINS</t>
  </si>
  <si>
    <t>C.2. Tributos Estaduais (especificar)</t>
  </si>
  <si>
    <t>C.3. Tributos Municipais (especificar)</t>
  </si>
  <si>
    <t>ISS</t>
  </si>
  <si>
    <t>2. QUADRO-RESUMO DO CUSTO POR EMPREGADO</t>
  </si>
  <si>
    <t>Mão de obra vinculada à execução contratual (valor por empregado)</t>
  </si>
  <si>
    <t>Subtotal (A + B +C+ D+E)</t>
  </si>
  <si>
    <t>Módulo 6 – Custos Indiretos, Tributos e Lucro</t>
  </si>
  <si>
    <t>Média</t>
  </si>
  <si>
    <t>Descrição/Especificação</t>
  </si>
  <si>
    <t>QTD ANUAL</t>
  </si>
  <si>
    <t>Valor Total</t>
  </si>
  <si>
    <t>Camisa social manga curta</t>
  </si>
  <si>
    <t>Calça social</t>
  </si>
  <si>
    <t>Meia social</t>
  </si>
  <si>
    <t>Cracha</t>
  </si>
  <si>
    <t xml:space="preserve">Incidência dos encargos do submódulo 2.2 sobre o custo de reposição do profissional ausente </t>
  </si>
  <si>
    <t>Outros</t>
  </si>
  <si>
    <t>Categoria profissional: Copeira</t>
  </si>
  <si>
    <t>SAT (RAT = 3,00 x FAP = 1,000)</t>
  </si>
  <si>
    <t>AP000008/2024</t>
  </si>
  <si>
    <t>Contratação de empresa, por sistema de registro de preços – SRP, para prestação de serviços de copeiro de forma contínua e com a dedicação exclusiva de mão de obra, no âmbito da 11ª Superintendência Regional Codevasf – 11ª/SR (Amapá).</t>
  </si>
  <si>
    <r>
      <t>Outros</t>
    </r>
    <r>
      <rPr>
        <sz val="10"/>
        <color rgb="FF000000"/>
        <rFont val="Times New Roman"/>
        <family val="1"/>
      </rPr>
      <t xml:space="preserve"> (Cláus. 42, páragrafo único ACT - despesas relacionadas à segurança e medicina do trabalho)</t>
    </r>
  </si>
  <si>
    <t>Material Mensal</t>
  </si>
  <si>
    <t>Material sob Demanda</t>
  </si>
  <si>
    <t>Orçamento 1</t>
  </si>
  <si>
    <t>Orçamento 2</t>
  </si>
  <si>
    <t>Orçamento 3</t>
  </si>
  <si>
    <t>Orçamento 4</t>
  </si>
  <si>
    <t>Valor/ano</t>
  </si>
  <si>
    <t>-</t>
  </si>
  <si>
    <t>Total/ano</t>
  </si>
  <si>
    <t>Total/mês</t>
  </si>
  <si>
    <t>QTD</t>
  </si>
  <si>
    <t>Cotação 1</t>
  </si>
  <si>
    <t>Cotação 2</t>
  </si>
  <si>
    <t>Cotação 3</t>
  </si>
  <si>
    <t>Valor Unitário</t>
  </si>
  <si>
    <t>Taxa Depreciação</t>
  </si>
  <si>
    <t>EQUIPAMENTOS (DEPRECIAÇÃO)</t>
  </si>
  <si>
    <t>Frequência</t>
  </si>
  <si>
    <t>Valor/mês</t>
  </si>
  <si>
    <t>Valor/mês/posto</t>
  </si>
  <si>
    <t>Carrinho Bandeja</t>
  </si>
  <si>
    <t>Máquina de Café</t>
  </si>
  <si>
    <t>Valor por Posto (mês)</t>
  </si>
  <si>
    <t>MATERIAIS DE CONSUMO (MENSAL)</t>
  </si>
  <si>
    <t>PRODUTOS DE LIMPEZA E HIGIENIZAÇÃO</t>
  </si>
  <si>
    <t>Água Sanitária</t>
  </si>
  <si>
    <t>Álcool Etílico</t>
  </si>
  <si>
    <t>Detergente</t>
  </si>
  <si>
    <t>Sabão em Pó</t>
  </si>
  <si>
    <t>Esponja</t>
  </si>
  <si>
    <t>Pano de Prato</t>
  </si>
  <si>
    <t>Flanela Amarela</t>
  </si>
  <si>
    <t>Pano de Chão</t>
  </si>
  <si>
    <t>GÊNERO ALIMENTÍCIO</t>
  </si>
  <si>
    <t>Açúcar</t>
  </si>
  <si>
    <t>Adoçante</t>
  </si>
  <si>
    <t>Café</t>
  </si>
  <si>
    <t>Chá</t>
  </si>
  <si>
    <t>UTENSÍLIOS</t>
  </si>
  <si>
    <t>Copo Descartável p/ água</t>
  </si>
  <si>
    <t>Copo Descartável p/ café</t>
  </si>
  <si>
    <t>Guardanapo</t>
  </si>
  <si>
    <t>Colher Descartável</t>
  </si>
  <si>
    <t>ITENS ENTREGUES SOB DEMANDA</t>
  </si>
  <si>
    <t>Bandeja</t>
  </si>
  <si>
    <t>Forro de Plástico</t>
  </si>
  <si>
    <t>Balde</t>
  </si>
  <si>
    <t>Garrafa Térmica</t>
  </si>
  <si>
    <t>Jarra</t>
  </si>
  <si>
    <t>Coador de Pano</t>
  </si>
  <si>
    <t>Porta Sabão e Esponja</t>
  </si>
  <si>
    <t>Derpeciação</t>
  </si>
  <si>
    <t>Valor Total por Empregado/mês</t>
  </si>
  <si>
    <t>Valor Total por Empregado/anual</t>
  </si>
  <si>
    <t>Valor Total por Empregado/dois postos</t>
  </si>
  <si>
    <r>
      <t>Nº do Processo:</t>
    </r>
    <r>
      <rPr>
        <sz val="12"/>
        <rFont val="Times New Roman"/>
        <family val="1"/>
        <charset val="1"/>
      </rPr>
      <t xml:space="preserve"> 59513.000183/2024-10</t>
    </r>
  </si>
  <si>
    <t>Transporte</t>
  </si>
  <si>
    <t>Auxílio-Refeição/Alimentação</t>
  </si>
  <si>
    <t>Aviso Prévio Indenizado</t>
  </si>
  <si>
    <t>Incidência do FGTS sobre o Aviso Prévio Indenizado</t>
  </si>
  <si>
    <t>Multa do FGTS e contribuição social sobre o Aviso Prévio Indenizado</t>
  </si>
  <si>
    <t>Aviso Prévio Trabalhado</t>
  </si>
  <si>
    <t>Incidência dos encargos do submódulo 2.2 sobre o Aviso Prévio Trabalhado</t>
  </si>
  <si>
    <t>Multa do FGTS e contribuição social sobre o Aviso Prévio Trabalhado</t>
  </si>
  <si>
    <t>Afastamento maternidade</t>
  </si>
  <si>
    <t>Ausência por acidente de trabalho</t>
  </si>
  <si>
    <t>Ausência por doença</t>
  </si>
  <si>
    <t>Cálculo do tributo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</si>
</sst>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 #,##0.00\ ;* \(#,##0.00\);* \-#\ ;@\ "/>
    <numFmt numFmtId="165" formatCode="* #,##0.00\ ;\-* #,##0.00\ ;* \-#\ ;@\ "/>
    <numFmt numFmtId="166" formatCode="#,##0.00;[Red]#,##0.00"/>
    <numFmt numFmtId="167" formatCode="#,##0.00\ ;[Red]\(#,##0.00\)"/>
    <numFmt numFmtId="168" formatCode="0.0000"/>
    <numFmt numFmtId="169" formatCode="#,##0.0000\ ;\-#,##0.0000\ "/>
    <numFmt numFmtId="170" formatCode="#,##0.00\ ;\(#,##0.00\)"/>
    <numFmt numFmtId="171" formatCode="dd/mm/yy"/>
    <numFmt numFmtId="172" formatCode="d/m/yyyy"/>
    <numFmt numFmtId="174" formatCode="&quot;R$&quot;\ #,##0.00"/>
  </numFmts>
  <fonts count="25" x14ac:knownFonts="1">
    <font>
      <sz val="11"/>
      <color rgb="FF000000"/>
      <name val="Calibri"/>
      <family val="2"/>
      <charset val="1"/>
    </font>
    <font>
      <sz val="10"/>
      <color rgb="FF000000"/>
      <name val="Calibri"/>
      <family val="2"/>
    </font>
    <font>
      <sz val="10"/>
      <name val="Arial"/>
      <family val="2"/>
      <charset val="1"/>
    </font>
    <font>
      <sz val="12"/>
      <color rgb="FF000000"/>
      <name val="Times New Roman"/>
      <family val="1"/>
      <charset val="1"/>
    </font>
    <font>
      <sz val="18"/>
      <color rgb="FFFFFFFF"/>
      <name val="Times New Roman"/>
      <family val="1"/>
      <charset val="1"/>
    </font>
    <font>
      <sz val="12"/>
      <color rgb="FFFF0000"/>
      <name val="Times New Roman"/>
      <family val="1"/>
      <charset val="1"/>
    </font>
    <font>
      <b/>
      <sz val="12"/>
      <color rgb="FF000000"/>
      <name val="Times New Roman"/>
      <family val="1"/>
      <charset val="1"/>
    </font>
    <font>
      <sz val="12"/>
      <name val="Calibri"/>
      <family val="2"/>
      <charset val="1"/>
    </font>
    <font>
      <b/>
      <sz val="12"/>
      <color rgb="FFFF0000"/>
      <name val="Times New Roman"/>
      <family val="1"/>
      <charset val="1"/>
    </font>
    <font>
      <b/>
      <sz val="12"/>
      <name val="Times New Roman"/>
      <family val="1"/>
      <charset val="1"/>
    </font>
    <font>
      <sz val="12"/>
      <name val="Times New Roman"/>
      <family val="1"/>
      <charset val="1"/>
    </font>
    <font>
      <b/>
      <sz val="12"/>
      <color rgb="FF00B050"/>
      <name val="Times New Roman"/>
      <family val="1"/>
      <charset val="1"/>
    </font>
    <font>
      <sz val="9"/>
      <color rgb="FF000000"/>
      <name val="Segoe UI"/>
      <family val="2"/>
      <charset val="1"/>
    </font>
    <font>
      <b/>
      <sz val="10"/>
      <color rgb="FF000000"/>
      <name val="Arial"/>
      <family val="2"/>
      <charset val="1"/>
    </font>
    <font>
      <sz val="12"/>
      <color rgb="FF000009"/>
      <name val="Times New Roman"/>
      <family val="1"/>
      <charset val="1"/>
    </font>
    <font>
      <sz val="9"/>
      <color rgb="FF000000"/>
      <name val="Times New Roman"/>
      <family val="1"/>
      <charset val="1"/>
    </font>
    <font>
      <sz val="10"/>
      <color rgb="FF000000"/>
      <name val="Times New Roman"/>
      <family val="1"/>
    </font>
    <font>
      <sz val="11"/>
      <color rgb="FF000000"/>
      <name val="Calibri"/>
      <family val="2"/>
      <charset val="1"/>
    </font>
    <font>
      <sz val="9"/>
      <color rgb="FF000000"/>
      <name val="Times New Roman"/>
      <family val="1"/>
    </font>
    <font>
      <sz val="11"/>
      <color indexed="8"/>
      <name val="Calibri"/>
      <family val="2"/>
    </font>
    <font>
      <sz val="12"/>
      <color rgb="FF000000"/>
      <name val="Times New Roman"/>
      <family val="1"/>
    </font>
    <font>
      <b/>
      <sz val="12"/>
      <color theme="1"/>
      <name val="Times New Roman"/>
      <family val="1"/>
    </font>
    <font>
      <b/>
      <sz val="12"/>
      <name val="Times New Roman"/>
      <family val="1"/>
    </font>
    <font>
      <sz val="12"/>
      <color theme="1"/>
      <name val="Times New Roman"/>
      <family val="1"/>
    </font>
    <font>
      <sz val="12"/>
      <name val="Times New Roman"/>
      <family val="1"/>
    </font>
  </fonts>
  <fills count="13">
    <fill>
      <patternFill patternType="none"/>
    </fill>
    <fill>
      <patternFill patternType="gray125"/>
    </fill>
    <fill>
      <patternFill patternType="solid">
        <fgColor rgb="FF2E75B6"/>
        <bgColor rgb="FF0066CC"/>
      </patternFill>
    </fill>
    <fill>
      <patternFill patternType="solid">
        <fgColor rgb="FF9DC3E6"/>
        <bgColor rgb="FFBDD7EE"/>
      </patternFill>
    </fill>
    <fill>
      <patternFill patternType="solid">
        <fgColor rgb="FFF8CBAD"/>
        <bgColor rgb="FFFBE5D6"/>
      </patternFill>
    </fill>
    <fill>
      <patternFill patternType="solid">
        <fgColor rgb="FFBDD7EE"/>
        <bgColor rgb="FFD7D7D7"/>
      </patternFill>
    </fill>
    <fill>
      <patternFill patternType="solid">
        <fgColor rgb="FFF4B183"/>
        <bgColor rgb="FFF8CBAD"/>
      </patternFill>
    </fill>
    <fill>
      <patternFill patternType="solid">
        <fgColor rgb="FFFFFFFF"/>
        <bgColor rgb="FFDEEBF7"/>
      </patternFill>
    </fill>
    <fill>
      <patternFill patternType="solid">
        <fgColor rgb="FFFBE5D6"/>
        <bgColor rgb="FFDDDDDD"/>
      </patternFill>
    </fill>
    <fill>
      <patternFill patternType="solid">
        <fgColor rgb="FFDEEBF7"/>
        <bgColor rgb="FFDDDDDD"/>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s>
  <borders count="54">
    <border>
      <left/>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thin">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auto="1"/>
      </left>
      <right style="medium">
        <color auto="1"/>
      </right>
      <top/>
      <bottom/>
      <diagonal/>
    </border>
    <border>
      <left style="hair">
        <color auto="1"/>
      </left>
      <right style="hair">
        <color auto="1"/>
      </right>
      <top/>
      <bottom style="thin">
        <color auto="1"/>
      </bottom>
      <diagonal/>
    </border>
  </borders>
  <cellStyleXfs count="14">
    <xf numFmtId="0" fontId="0" fillId="0" borderId="0"/>
    <xf numFmtId="165" fontId="17" fillId="0" borderId="0" applyBorder="0" applyProtection="0"/>
    <xf numFmtId="9" fontId="17" fillId="0" borderId="0" applyBorder="0" applyProtection="0"/>
    <xf numFmtId="0" fontId="17" fillId="0" borderId="0"/>
    <xf numFmtId="0" fontId="1" fillId="0" borderId="0"/>
    <xf numFmtId="164" fontId="2" fillId="0" borderId="0" applyBorder="0" applyProtection="0"/>
    <xf numFmtId="165" fontId="17" fillId="0" borderId="0" applyBorder="0" applyProtection="0"/>
    <xf numFmtId="165" fontId="17" fillId="0" borderId="0" applyBorder="0" applyProtection="0"/>
    <xf numFmtId="165" fontId="17" fillId="0" borderId="0" applyBorder="0" applyProtection="0"/>
    <xf numFmtId="165" fontId="17" fillId="0" borderId="0" applyBorder="0" applyProtection="0"/>
    <xf numFmtId="165" fontId="17" fillId="0" borderId="0" applyBorder="0" applyProtection="0"/>
    <xf numFmtId="165" fontId="17" fillId="0" borderId="0" applyBorder="0" applyProtection="0"/>
    <xf numFmtId="165" fontId="17" fillId="0" borderId="0" applyBorder="0" applyProtection="0"/>
    <xf numFmtId="0" fontId="19" fillId="0" borderId="0"/>
  </cellStyleXfs>
  <cellXfs count="387">
    <xf numFmtId="0" fontId="0" fillId="0" borderId="0" xfId="0"/>
    <xf numFmtId="0" fontId="3"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6" fillId="3" borderId="2" xfId="0" applyFont="1" applyFill="1" applyBorder="1" applyAlignment="1">
      <alignment horizontal="center" vertical="center"/>
    </xf>
    <xf numFmtId="0" fontId="3" fillId="0" borderId="3" xfId="0" applyFont="1" applyBorder="1" applyAlignment="1">
      <alignment horizontal="center" vertical="center"/>
    </xf>
    <xf numFmtId="166" fontId="7" fillId="0" borderId="4" xfId="0" applyNumberFormat="1" applyFont="1" applyBorder="1" applyAlignment="1">
      <alignment horizontal="center" vertical="center"/>
    </xf>
    <xf numFmtId="0" fontId="3" fillId="0" borderId="5" xfId="0" applyFont="1" applyBorder="1" applyAlignment="1">
      <alignment horizontal="center" vertical="center"/>
    </xf>
    <xf numFmtId="166" fontId="6" fillId="0" borderId="6" xfId="0" applyNumberFormat="1" applyFont="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3" fillId="0" borderId="10" xfId="0" applyFont="1" applyBorder="1" applyAlignment="1">
      <alignment horizontal="center" vertical="center"/>
    </xf>
    <xf numFmtId="166" fontId="3" fillId="0" borderId="11" xfId="0" applyNumberFormat="1" applyFont="1" applyBorder="1" applyAlignment="1">
      <alignment horizontal="center" vertical="center"/>
    </xf>
    <xf numFmtId="10" fontId="3" fillId="0" borderId="11" xfId="2" applyNumberFormat="1" applyFont="1" applyBorder="1" applyAlignment="1" applyProtection="1">
      <alignment horizontal="center" vertical="center"/>
    </xf>
    <xf numFmtId="166" fontId="3" fillId="0" borderId="12" xfId="0" applyNumberFormat="1" applyFont="1" applyBorder="1" applyAlignment="1">
      <alignment horizontal="center" vertical="center"/>
    </xf>
    <xf numFmtId="166" fontId="3" fillId="0" borderId="13" xfId="0" applyNumberFormat="1" applyFont="1" applyBorder="1" applyAlignment="1">
      <alignment horizontal="center" vertical="center"/>
    </xf>
    <xf numFmtId="10" fontId="3" fillId="0" borderId="13" xfId="2" applyNumberFormat="1" applyFont="1" applyBorder="1" applyAlignment="1" applyProtection="1">
      <alignment horizontal="center" vertical="center"/>
    </xf>
    <xf numFmtId="166" fontId="3" fillId="0" borderId="6" xfId="0" applyNumberFormat="1" applyFont="1" applyBorder="1" applyAlignment="1">
      <alignment horizontal="center" vertical="center"/>
    </xf>
    <xf numFmtId="9" fontId="3" fillId="0" borderId="11" xfId="2" applyFont="1" applyBorder="1" applyAlignment="1" applyProtection="1">
      <alignment horizontal="center" vertical="center"/>
    </xf>
    <xf numFmtId="166" fontId="6" fillId="0" borderId="12" xfId="0" applyNumberFormat="1" applyFont="1" applyBorder="1" applyAlignment="1">
      <alignment horizontal="center" vertical="center"/>
    </xf>
    <xf numFmtId="0" fontId="3" fillId="0" borderId="14" xfId="0" applyFont="1" applyBorder="1" applyAlignment="1">
      <alignment horizontal="center" vertical="center"/>
    </xf>
    <xf numFmtId="166" fontId="3" fillId="0" borderId="15" xfId="0" applyNumberFormat="1" applyFont="1" applyBorder="1" applyAlignment="1">
      <alignment horizontal="center" vertical="center"/>
    </xf>
    <xf numFmtId="9" fontId="3" fillId="0" borderId="15" xfId="2" applyFont="1" applyBorder="1" applyAlignment="1" applyProtection="1">
      <alignment horizontal="center" vertical="center"/>
    </xf>
    <xf numFmtId="166" fontId="6" fillId="0" borderId="16" xfId="0" applyNumberFormat="1" applyFont="1" applyBorder="1" applyAlignment="1">
      <alignment horizontal="center" vertical="center"/>
    </xf>
    <xf numFmtId="0" fontId="3" fillId="0" borderId="17" xfId="0" applyFont="1" applyBorder="1" applyAlignment="1">
      <alignment horizontal="center" vertical="center"/>
    </xf>
    <xf numFmtId="166" fontId="3" fillId="0" borderId="18" xfId="0" applyNumberFormat="1" applyFont="1" applyBorder="1" applyAlignment="1">
      <alignment horizontal="center" vertical="center"/>
    </xf>
    <xf numFmtId="9" fontId="3" fillId="0" borderId="18" xfId="2" applyFont="1" applyBorder="1" applyAlignment="1" applyProtection="1">
      <alignment horizontal="center" vertical="center"/>
    </xf>
    <xf numFmtId="166" fontId="6" fillId="0" borderId="19" xfId="0" applyNumberFormat="1" applyFont="1" applyBorder="1" applyAlignment="1">
      <alignment horizontal="center" vertical="center"/>
    </xf>
    <xf numFmtId="9" fontId="3" fillId="0" borderId="13" xfId="2" applyFont="1" applyBorder="1" applyAlignment="1" applyProtection="1">
      <alignment horizontal="center" vertical="center"/>
    </xf>
    <xf numFmtId="0" fontId="6" fillId="3" borderId="8"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1" xfId="0" applyFont="1" applyFill="1" applyBorder="1" applyAlignment="1">
      <alignment horizontal="center" vertical="center" wrapText="1"/>
    </xf>
    <xf numFmtId="0" fontId="6" fillId="3" borderId="22" xfId="0" applyFont="1" applyFill="1" applyBorder="1" applyAlignment="1">
      <alignment horizontal="center" vertical="center"/>
    </xf>
    <xf numFmtId="0" fontId="3" fillId="0" borderId="23" xfId="0" applyFont="1" applyBorder="1" applyAlignment="1">
      <alignment horizontal="center" vertical="center"/>
    </xf>
    <xf numFmtId="166" fontId="3" fillId="0" borderId="23" xfId="0" applyNumberFormat="1" applyFont="1" applyBorder="1" applyAlignment="1">
      <alignment horizontal="center" vertical="center"/>
    </xf>
    <xf numFmtId="4" fontId="3" fillId="0" borderId="23" xfId="0" applyNumberFormat="1" applyFont="1" applyBorder="1" applyAlignment="1">
      <alignment horizontal="center" vertical="center"/>
    </xf>
    <xf numFmtId="166" fontId="6" fillId="0" borderId="23" xfId="0" applyNumberFormat="1" applyFont="1" applyBorder="1" applyAlignment="1">
      <alignment horizontal="center" vertical="center"/>
    </xf>
    <xf numFmtId="0" fontId="6" fillId="3" borderId="2" xfId="0" applyFont="1" applyFill="1" applyBorder="1" applyAlignment="1">
      <alignment horizontal="center" vertical="center" wrapText="1"/>
    </xf>
    <xf numFmtId="0" fontId="5" fillId="0" borderId="0" xfId="0" applyFont="1" applyAlignment="1">
      <alignment horizontal="center" vertical="center"/>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xf>
    <xf numFmtId="10" fontId="3" fillId="0" borderId="23" xfId="0" applyNumberFormat="1" applyFont="1" applyBorder="1" applyAlignment="1">
      <alignment horizontal="center" vertical="center"/>
    </xf>
    <xf numFmtId="10" fontId="3" fillId="0" borderId="23" xfId="2" applyNumberFormat="1" applyFont="1" applyBorder="1" applyAlignment="1" applyProtection="1">
      <alignment horizontal="center" vertical="center"/>
    </xf>
    <xf numFmtId="10" fontId="3" fillId="0" borderId="12" xfId="2" applyNumberFormat="1" applyFont="1" applyBorder="1" applyAlignment="1" applyProtection="1">
      <alignment horizontal="center" vertical="center"/>
    </xf>
    <xf numFmtId="10" fontId="3" fillId="0" borderId="16" xfId="2" applyNumberFormat="1" applyFont="1" applyBorder="1" applyAlignment="1" applyProtection="1">
      <alignment horizontal="center" vertical="center"/>
    </xf>
    <xf numFmtId="10" fontId="3" fillId="4" borderId="16" xfId="2" applyNumberFormat="1" applyFont="1" applyFill="1" applyBorder="1" applyAlignment="1" applyProtection="1">
      <alignment horizontal="center" vertical="center"/>
    </xf>
    <xf numFmtId="10" fontId="3" fillId="0" borderId="6" xfId="2" applyNumberFormat="1" applyFont="1" applyBorder="1" applyAlignment="1" applyProtection="1">
      <alignment horizontal="center" vertical="center"/>
    </xf>
    <xf numFmtId="0" fontId="6" fillId="5" borderId="27" xfId="0" applyFont="1" applyFill="1" applyBorder="1" applyAlignment="1">
      <alignment horizontal="center" vertical="center"/>
    </xf>
    <xf numFmtId="10" fontId="6" fillId="5" borderId="28" xfId="2" applyNumberFormat="1" applyFont="1" applyFill="1" applyBorder="1" applyAlignment="1" applyProtection="1">
      <alignment horizontal="center" vertical="center"/>
    </xf>
    <xf numFmtId="10" fontId="3" fillId="4" borderId="23" xfId="0" applyNumberFormat="1" applyFont="1" applyFill="1" applyBorder="1" applyAlignment="1">
      <alignment horizontal="center" vertical="center"/>
    </xf>
    <xf numFmtId="1" fontId="3" fillId="0" borderId="23" xfId="0" applyNumberFormat="1" applyFont="1" applyBorder="1" applyAlignment="1">
      <alignment horizontal="center" vertical="center"/>
    </xf>
    <xf numFmtId="9" fontId="3" fillId="0" borderId="23" xfId="2" applyFont="1" applyBorder="1" applyAlignment="1" applyProtection="1">
      <alignment horizontal="center" vertical="center"/>
    </xf>
    <xf numFmtId="1" fontId="3" fillId="0" borderId="13" xfId="0" applyNumberFormat="1" applyFont="1" applyBorder="1" applyAlignment="1">
      <alignment horizontal="center" vertical="center"/>
    </xf>
    <xf numFmtId="0" fontId="3" fillId="0" borderId="0" xfId="0" applyFont="1" applyAlignment="1">
      <alignment vertical="center"/>
    </xf>
    <xf numFmtId="0" fontId="3" fillId="0" borderId="3" xfId="0" applyFont="1" applyBorder="1" applyAlignment="1">
      <alignment horizontal="center" vertical="center" wrapText="1"/>
    </xf>
    <xf numFmtId="10" fontId="3" fillId="0" borderId="4" xfId="2" applyNumberFormat="1" applyFont="1" applyBorder="1" applyAlignment="1" applyProtection="1">
      <alignment horizontal="center" vertical="center"/>
    </xf>
    <xf numFmtId="0" fontId="3" fillId="6" borderId="14" xfId="0" applyFont="1" applyFill="1" applyBorder="1" applyAlignment="1">
      <alignment horizontal="center" vertical="center" wrapText="1"/>
    </xf>
    <xf numFmtId="10" fontId="3" fillId="6" borderId="16" xfId="2" applyNumberFormat="1" applyFont="1" applyFill="1" applyBorder="1" applyAlignment="1" applyProtection="1">
      <alignment horizontal="center"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10" fontId="3" fillId="0" borderId="19" xfId="2" applyNumberFormat="1" applyFont="1" applyBorder="1" applyAlignment="1" applyProtection="1">
      <alignment horizontal="center" vertical="center"/>
    </xf>
    <xf numFmtId="10" fontId="6" fillId="3" borderId="22" xfId="0" applyNumberFormat="1" applyFont="1" applyFill="1" applyBorder="1" applyAlignment="1">
      <alignment horizontal="center" vertical="center"/>
    </xf>
    <xf numFmtId="0" fontId="6" fillId="0" borderId="0" xfId="0" applyFont="1" applyBorder="1" applyAlignment="1">
      <alignment vertical="center"/>
    </xf>
    <xf numFmtId="0" fontId="6" fillId="3" borderId="30" xfId="0" applyFont="1" applyFill="1" applyBorder="1" applyAlignment="1">
      <alignment horizontal="center" vertical="center" wrapText="1"/>
    </xf>
    <xf numFmtId="0" fontId="3" fillId="0" borderId="18" xfId="0" applyFont="1" applyBorder="1" applyAlignment="1">
      <alignment horizontal="center" vertical="center"/>
    </xf>
    <xf numFmtId="10" fontId="3" fillId="0" borderId="13" xfId="0" applyNumberFormat="1" applyFont="1" applyBorder="1" applyAlignment="1">
      <alignment horizontal="center" vertical="center"/>
    </xf>
    <xf numFmtId="167" fontId="3" fillId="0" borderId="18" xfId="0" applyNumberFormat="1" applyFont="1" applyBorder="1" applyAlignment="1">
      <alignment horizontal="center" vertical="center"/>
    </xf>
    <xf numFmtId="167" fontId="6" fillId="0" borderId="19" xfId="0" applyNumberFormat="1" applyFont="1" applyBorder="1" applyAlignment="1">
      <alignment horizontal="center" vertical="center"/>
    </xf>
    <xf numFmtId="167" fontId="3" fillId="0" borderId="13" xfId="0" applyNumberFormat="1" applyFont="1" applyBorder="1" applyAlignment="1">
      <alignment horizontal="center" vertical="center"/>
    </xf>
    <xf numFmtId="167" fontId="6" fillId="0" borderId="6" xfId="0" applyNumberFormat="1" applyFont="1" applyBorder="1" applyAlignment="1">
      <alignment horizontal="center" vertical="center"/>
    </xf>
    <xf numFmtId="167" fontId="3" fillId="0" borderId="23" xfId="0" applyNumberFormat="1" applyFont="1" applyBorder="1" applyAlignment="1">
      <alignment horizontal="center" vertical="center"/>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3" fillId="0" borderId="10" xfId="0" applyFont="1" applyBorder="1" applyAlignment="1">
      <alignment horizontal="center" vertical="center" wrapText="1"/>
    </xf>
    <xf numFmtId="168" fontId="3" fillId="0" borderId="11" xfId="0" applyNumberFormat="1" applyFont="1" applyBorder="1" applyAlignment="1">
      <alignment horizontal="center" vertical="center" wrapText="1"/>
    </xf>
    <xf numFmtId="0" fontId="3" fillId="0" borderId="33" xfId="0" applyFont="1" applyBorder="1" applyAlignment="1">
      <alignment horizontal="center" vertical="center" wrapText="1"/>
    </xf>
    <xf numFmtId="9" fontId="3" fillId="0" borderId="10" xfId="2" applyFont="1" applyBorder="1" applyAlignment="1" applyProtection="1">
      <alignment horizontal="center" vertical="center" wrapText="1"/>
    </xf>
    <xf numFmtId="169" fontId="6" fillId="0" borderId="12" xfId="1" applyNumberFormat="1" applyFont="1" applyBorder="1" applyAlignment="1" applyProtection="1">
      <alignment horizontal="center" vertical="center" wrapText="1"/>
    </xf>
    <xf numFmtId="10" fontId="3" fillId="0" borderId="10" xfId="2" applyNumberFormat="1" applyFont="1" applyBorder="1" applyAlignment="1" applyProtection="1">
      <alignment horizontal="center" vertical="center" wrapText="1"/>
    </xf>
    <xf numFmtId="168" fontId="3" fillId="0" borderId="15" xfId="0" applyNumberFormat="1" applyFont="1" applyBorder="1" applyAlignment="1">
      <alignment horizontal="center" vertical="center" wrapText="1"/>
    </xf>
    <xf numFmtId="0" fontId="3" fillId="0" borderId="34" xfId="0" applyFont="1" applyBorder="1" applyAlignment="1">
      <alignment horizontal="center" vertical="center" wrapText="1"/>
    </xf>
    <xf numFmtId="9" fontId="3" fillId="0" borderId="14" xfId="2" applyFont="1" applyBorder="1" applyAlignment="1" applyProtection="1">
      <alignment horizontal="center" vertical="center" wrapText="1"/>
    </xf>
    <xf numFmtId="169" fontId="6" fillId="0" borderId="16" xfId="1" applyNumberFormat="1" applyFont="1" applyBorder="1" applyAlignment="1" applyProtection="1">
      <alignment horizontal="center" vertical="center" wrapText="1"/>
    </xf>
    <xf numFmtId="10" fontId="3" fillId="0" borderId="14" xfId="2" applyNumberFormat="1" applyFont="1" applyBorder="1" applyAlignment="1" applyProtection="1">
      <alignment horizontal="center" vertical="center" wrapText="1"/>
    </xf>
    <xf numFmtId="0" fontId="3" fillId="0" borderId="5" xfId="0" applyFont="1" applyBorder="1" applyAlignment="1">
      <alignment horizontal="center" vertical="center" wrapText="1"/>
    </xf>
    <xf numFmtId="168" fontId="3" fillId="0" borderId="13" xfId="0" applyNumberFormat="1" applyFont="1" applyBorder="1" applyAlignment="1">
      <alignment horizontal="center" vertical="center" wrapText="1"/>
    </xf>
    <xf numFmtId="0" fontId="3" fillId="0" borderId="35" xfId="0" applyFont="1" applyBorder="1" applyAlignment="1">
      <alignment horizontal="center" vertical="center" wrapText="1"/>
    </xf>
    <xf numFmtId="9" fontId="3" fillId="0" borderId="5" xfId="2" applyFont="1" applyBorder="1" applyAlignment="1" applyProtection="1">
      <alignment horizontal="center" vertical="center" wrapText="1"/>
    </xf>
    <xf numFmtId="169" fontId="6" fillId="0" borderId="6" xfId="1" applyNumberFormat="1" applyFont="1" applyBorder="1" applyAlignment="1" applyProtection="1">
      <alignment horizontal="center" vertical="center" wrapText="1"/>
    </xf>
    <xf numFmtId="10" fontId="3" fillId="0" borderId="5" xfId="2" applyNumberFormat="1" applyFont="1" applyBorder="1" applyAlignment="1" applyProtection="1">
      <alignment horizontal="center" vertical="center" wrapText="1"/>
    </xf>
    <xf numFmtId="0" fontId="6" fillId="3" borderId="20" xfId="0" applyFont="1" applyFill="1" applyBorder="1" applyAlignment="1">
      <alignment horizontal="center" vertical="center" wrapText="1"/>
    </xf>
    <xf numFmtId="0" fontId="6" fillId="3" borderId="22" xfId="0" applyFont="1" applyFill="1" applyBorder="1" applyAlignment="1">
      <alignment horizontal="center" vertical="center" wrapText="1"/>
    </xf>
    <xf numFmtId="168" fontId="3" fillId="0" borderId="12" xfId="0" applyNumberFormat="1" applyFont="1" applyBorder="1" applyAlignment="1">
      <alignment horizontal="center" vertical="center" wrapText="1"/>
    </xf>
    <xf numFmtId="168" fontId="3" fillId="0" borderId="16" xfId="0" applyNumberFormat="1" applyFont="1" applyBorder="1" applyAlignment="1">
      <alignment horizontal="center" vertical="center" wrapText="1"/>
    </xf>
    <xf numFmtId="168" fontId="3" fillId="0" borderId="18" xfId="0" applyNumberFormat="1" applyFont="1" applyBorder="1" applyAlignment="1">
      <alignment horizontal="center" vertical="center" wrapText="1"/>
    </xf>
    <xf numFmtId="168" fontId="3" fillId="0" borderId="19" xfId="0" applyNumberFormat="1" applyFont="1" applyBorder="1" applyAlignment="1">
      <alignment horizontal="center" vertical="center" wrapText="1"/>
    </xf>
    <xf numFmtId="168" fontId="6" fillId="3" borderId="21" xfId="0" applyNumberFormat="1" applyFont="1" applyFill="1" applyBorder="1" applyAlignment="1">
      <alignment horizontal="center" vertical="center" wrapText="1"/>
    </xf>
    <xf numFmtId="168" fontId="6" fillId="3" borderId="22" xfId="0" applyNumberFormat="1" applyFont="1" applyFill="1" applyBorder="1" applyAlignment="1">
      <alignment horizontal="center" vertical="center" wrapText="1"/>
    </xf>
    <xf numFmtId="1" fontId="3" fillId="0" borderId="11" xfId="0" applyNumberFormat="1" applyFont="1" applyBorder="1" applyAlignment="1">
      <alignment horizontal="center" vertical="center"/>
    </xf>
    <xf numFmtId="1" fontId="3" fillId="0" borderId="15" xfId="0" applyNumberFormat="1" applyFont="1" applyBorder="1" applyAlignment="1">
      <alignment horizontal="center" vertical="center"/>
    </xf>
    <xf numFmtId="1" fontId="3" fillId="0" borderId="18" xfId="0" applyNumberFormat="1" applyFont="1" applyBorder="1" applyAlignment="1">
      <alignment horizontal="center" vertical="center"/>
    </xf>
    <xf numFmtId="168" fontId="3" fillId="0" borderId="11" xfId="0" applyNumberFormat="1" applyFont="1" applyBorder="1" applyAlignment="1">
      <alignment horizontal="center" vertical="center"/>
    </xf>
    <xf numFmtId="168" fontId="3" fillId="0" borderId="15" xfId="0" applyNumberFormat="1" applyFont="1" applyBorder="1" applyAlignment="1">
      <alignment horizontal="center" vertical="center"/>
    </xf>
    <xf numFmtId="168" fontId="3" fillId="0" borderId="18" xfId="0" applyNumberFormat="1" applyFont="1" applyBorder="1" applyAlignment="1">
      <alignment horizontal="center" vertical="center"/>
    </xf>
    <xf numFmtId="168" fontId="3" fillId="0" borderId="13" xfId="0" applyNumberFormat="1" applyFont="1" applyBorder="1" applyAlignment="1">
      <alignment horizontal="center" vertical="center"/>
    </xf>
    <xf numFmtId="0" fontId="9" fillId="3" borderId="2" xfId="0" applyFont="1" applyFill="1" applyBorder="1" applyAlignment="1">
      <alignment horizontal="center" vertical="center"/>
    </xf>
    <xf numFmtId="0" fontId="9" fillId="0" borderId="0" xfId="0" applyFont="1" applyBorder="1" applyAlignment="1">
      <alignment vertical="center"/>
    </xf>
    <xf numFmtId="164" fontId="9" fillId="3" borderId="2" xfId="5" applyFont="1" applyFill="1" applyBorder="1" applyAlignment="1" applyProtection="1">
      <alignment horizontal="center" vertical="center"/>
    </xf>
    <xf numFmtId="3" fontId="3" fillId="0" borderId="37" xfId="5" applyNumberFormat="1" applyFont="1" applyBorder="1" applyAlignment="1" applyProtection="1">
      <alignment horizontal="center" vertical="center"/>
    </xf>
    <xf numFmtId="164" fontId="3" fillId="0" borderId="37" xfId="5" applyFont="1" applyBorder="1" applyAlignment="1" applyProtection="1">
      <alignment horizontal="center" vertical="center"/>
    </xf>
    <xf numFmtId="4" fontId="10" fillId="0" borderId="38" xfId="0" applyNumberFormat="1" applyFont="1" applyBorder="1" applyAlignment="1">
      <alignment horizontal="center" vertical="center"/>
    </xf>
    <xf numFmtId="3" fontId="3" fillId="0" borderId="15" xfId="5" applyNumberFormat="1" applyFont="1" applyBorder="1" applyAlignment="1" applyProtection="1">
      <alignment horizontal="center" vertical="center"/>
    </xf>
    <xf numFmtId="164" fontId="3" fillId="0" borderId="15" xfId="5" applyFont="1" applyBorder="1" applyAlignment="1" applyProtection="1">
      <alignment horizontal="center" vertical="center"/>
    </xf>
    <xf numFmtId="4" fontId="10" fillId="0" borderId="39" xfId="0" applyNumberFormat="1" applyFont="1" applyBorder="1" applyAlignment="1">
      <alignment horizontal="center" vertical="center"/>
    </xf>
    <xf numFmtId="3" fontId="3" fillId="0" borderId="13" xfId="5" applyNumberFormat="1" applyFont="1" applyBorder="1" applyAlignment="1" applyProtection="1">
      <alignment horizontal="center" vertical="center"/>
    </xf>
    <xf numFmtId="164" fontId="3" fillId="0" borderId="13" xfId="5" applyFont="1" applyBorder="1" applyAlignment="1" applyProtection="1">
      <alignment horizontal="center" vertical="center"/>
    </xf>
    <xf numFmtId="4" fontId="10" fillId="0" borderId="40" xfId="0" applyNumberFormat="1" applyFont="1" applyBorder="1" applyAlignment="1">
      <alignment horizontal="center" vertical="center"/>
    </xf>
    <xf numFmtId="4" fontId="9" fillId="3" borderId="41" xfId="0" applyNumberFormat="1" applyFont="1" applyFill="1" applyBorder="1" applyAlignment="1">
      <alignment horizontal="center" vertical="center"/>
    </xf>
    <xf numFmtId="0" fontId="3" fillId="0" borderId="0" xfId="0" applyFont="1" applyBorder="1" applyAlignment="1">
      <alignment horizontal="center" vertical="center"/>
    </xf>
    <xf numFmtId="164" fontId="3" fillId="0" borderId="0" xfId="5" applyFont="1" applyBorder="1" applyAlignment="1" applyProtection="1">
      <alignment horizontal="center" vertical="center"/>
    </xf>
    <xf numFmtId="164" fontId="3" fillId="0" borderId="0" xfId="0" applyNumberFormat="1" applyFont="1" applyBorder="1" applyAlignment="1">
      <alignment horizontal="center" vertical="center"/>
    </xf>
    <xf numFmtId="0" fontId="9" fillId="0" borderId="0" xfId="0" applyFont="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4" fontId="3" fillId="0" borderId="11" xfId="5" applyNumberFormat="1" applyFont="1" applyBorder="1" applyAlignment="1" applyProtection="1">
      <alignment horizontal="center" vertical="center"/>
    </xf>
    <xf numFmtId="4" fontId="9" fillId="0" borderId="12" xfId="5" applyNumberFormat="1" applyFont="1" applyBorder="1" applyAlignment="1" applyProtection="1">
      <alignment horizontal="center" vertical="center"/>
    </xf>
    <xf numFmtId="4" fontId="3" fillId="0" borderId="15" xfId="5" applyNumberFormat="1" applyFont="1" applyBorder="1" applyAlignment="1" applyProtection="1">
      <alignment horizontal="center" vertical="center"/>
    </xf>
    <xf numFmtId="4" fontId="9" fillId="0" borderId="16" xfId="5" applyNumberFormat="1" applyFont="1" applyBorder="1" applyAlignment="1" applyProtection="1">
      <alignment horizontal="center" vertical="center"/>
    </xf>
    <xf numFmtId="4" fontId="3" fillId="0" borderId="13" xfId="5" applyNumberFormat="1" applyFont="1" applyBorder="1" applyAlignment="1" applyProtection="1">
      <alignment horizontal="center" vertical="center"/>
    </xf>
    <xf numFmtId="4" fontId="9" fillId="0" borderId="6" xfId="5" applyNumberFormat="1" applyFont="1" applyBorder="1" applyAlignment="1" applyProtection="1">
      <alignment horizontal="center" vertical="center"/>
    </xf>
    <xf numFmtId="4" fontId="3" fillId="0" borderId="37" xfId="5" applyNumberFormat="1" applyFont="1" applyBorder="1" applyAlignment="1" applyProtection="1">
      <alignment horizontal="center" vertical="center"/>
    </xf>
    <xf numFmtId="4" fontId="9" fillId="0" borderId="4" xfId="5" applyNumberFormat="1" applyFont="1" applyBorder="1" applyAlignment="1" applyProtection="1">
      <alignment horizontal="center" vertical="center"/>
    </xf>
    <xf numFmtId="4" fontId="3" fillId="8" borderId="37" xfId="5" applyNumberFormat="1" applyFont="1" applyFill="1" applyBorder="1" applyAlignment="1" applyProtection="1">
      <alignment horizontal="center" vertical="center"/>
    </xf>
    <xf numFmtId="1" fontId="3" fillId="0" borderId="37" xfId="5" applyNumberFormat="1" applyFont="1" applyBorder="1" applyAlignment="1" applyProtection="1">
      <alignment horizontal="center" vertical="center"/>
    </xf>
    <xf numFmtId="2" fontId="3" fillId="0" borderId="37" xfId="5" applyNumberFormat="1" applyFont="1" applyBorder="1" applyAlignment="1" applyProtection="1">
      <alignment horizontal="center" vertical="center"/>
    </xf>
    <xf numFmtId="4" fontId="3" fillId="0" borderId="4" xfId="0" applyNumberFormat="1" applyFont="1" applyBorder="1" applyAlignment="1">
      <alignment horizontal="center" vertical="center"/>
    </xf>
    <xf numFmtId="4" fontId="3" fillId="8" borderId="15" xfId="5" applyNumberFormat="1" applyFont="1" applyFill="1" applyBorder="1" applyAlignment="1" applyProtection="1">
      <alignment horizontal="center" vertical="center"/>
    </xf>
    <xf numFmtId="1" fontId="3" fillId="0" borderId="15" xfId="5" applyNumberFormat="1" applyFont="1" applyBorder="1" applyAlignment="1" applyProtection="1">
      <alignment horizontal="center" vertical="center"/>
    </xf>
    <xf numFmtId="2" fontId="3" fillId="0" borderId="15" xfId="5" applyNumberFormat="1" applyFont="1" applyBorder="1" applyAlignment="1" applyProtection="1">
      <alignment horizontal="center" vertical="center"/>
    </xf>
    <xf numFmtId="4" fontId="3" fillId="0" borderId="16" xfId="0" applyNumberFormat="1" applyFont="1" applyBorder="1" applyAlignment="1">
      <alignment horizontal="center" vertical="center"/>
    </xf>
    <xf numFmtId="4" fontId="6" fillId="0" borderId="16" xfId="0" applyNumberFormat="1" applyFont="1" applyBorder="1" applyAlignment="1">
      <alignment horizontal="center" vertical="center"/>
    </xf>
    <xf numFmtId="0" fontId="10" fillId="0" borderId="14" xfId="0" applyFont="1" applyBorder="1" applyAlignment="1">
      <alignment horizontal="center" vertical="center"/>
    </xf>
    <xf numFmtId="2" fontId="3" fillId="0" borderId="15" xfId="0" applyNumberFormat="1" applyFont="1" applyBorder="1" applyAlignment="1">
      <alignment horizontal="center" vertical="center"/>
    </xf>
    <xf numFmtId="4" fontId="3" fillId="8" borderId="13" xfId="5" applyNumberFormat="1" applyFont="1" applyFill="1" applyBorder="1" applyAlignment="1" applyProtection="1">
      <alignment horizontal="center" vertical="center"/>
    </xf>
    <xf numFmtId="1" fontId="3" fillId="0" borderId="13" xfId="5" applyNumberFormat="1" applyFont="1" applyBorder="1" applyAlignment="1" applyProtection="1">
      <alignment horizontal="center" vertical="center"/>
    </xf>
    <xf numFmtId="2" fontId="3" fillId="0" borderId="13" xfId="5" applyNumberFormat="1" applyFont="1" applyBorder="1" applyAlignment="1" applyProtection="1">
      <alignment horizontal="center" vertical="center"/>
    </xf>
    <xf numFmtId="4" fontId="3" fillId="0" borderId="6" xfId="0" applyNumberFormat="1" applyFont="1" applyBorder="1" applyAlignment="1">
      <alignment horizontal="center" vertical="center"/>
    </xf>
    <xf numFmtId="4" fontId="9" fillId="3" borderId="42"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0" fontId="9" fillId="3" borderId="20" xfId="0" applyFont="1" applyFill="1" applyBorder="1" applyAlignment="1">
      <alignment horizontal="center" vertical="center"/>
    </xf>
    <xf numFmtId="0" fontId="9" fillId="3" borderId="21" xfId="0" applyFont="1" applyFill="1" applyBorder="1" applyAlignment="1">
      <alignment horizontal="center" vertical="center"/>
    </xf>
    <xf numFmtId="164" fontId="9" fillId="3" borderId="22" xfId="0" applyNumberFormat="1" applyFont="1" applyFill="1" applyBorder="1" applyAlignment="1">
      <alignment horizontal="center" vertical="center" wrapText="1"/>
    </xf>
    <xf numFmtId="4" fontId="9" fillId="0" borderId="12" xfId="0" applyNumberFormat="1" applyFont="1" applyBorder="1" applyAlignment="1">
      <alignment horizontal="center" vertical="center"/>
    </xf>
    <xf numFmtId="4" fontId="9" fillId="0" borderId="16" xfId="0" applyNumberFormat="1" applyFont="1" applyBorder="1" applyAlignment="1">
      <alignment horizontal="center" vertical="center"/>
    </xf>
    <xf numFmtId="4" fontId="3" fillId="0" borderId="18" xfId="5" applyNumberFormat="1" applyFont="1" applyBorder="1" applyAlignment="1" applyProtection="1">
      <alignment horizontal="center" vertical="center"/>
    </xf>
    <xf numFmtId="4" fontId="9" fillId="0" borderId="19" xfId="0" applyNumberFormat="1" applyFont="1" applyBorder="1" applyAlignment="1">
      <alignment horizontal="center" vertical="center"/>
    </xf>
    <xf numFmtId="4" fontId="9" fillId="0" borderId="6" xfId="0" applyNumberFormat="1" applyFont="1" applyBorder="1" applyAlignment="1">
      <alignment horizontal="center" vertical="center"/>
    </xf>
    <xf numFmtId="0" fontId="9" fillId="3" borderId="8" xfId="0" applyFont="1" applyFill="1" applyBorder="1" applyAlignment="1">
      <alignment horizontal="center" vertical="center" wrapText="1"/>
    </xf>
    <xf numFmtId="4" fontId="10" fillId="0" borderId="12" xfId="0" applyNumberFormat="1" applyFont="1" applyBorder="1" applyAlignment="1">
      <alignment horizontal="center" vertical="center"/>
    </xf>
    <xf numFmtId="4" fontId="10" fillId="0" borderId="16" xfId="0" applyNumberFormat="1" applyFont="1" applyBorder="1" applyAlignment="1">
      <alignment horizontal="center" vertical="center"/>
    </xf>
    <xf numFmtId="4" fontId="10" fillId="0" borderId="19" xfId="0" applyNumberFormat="1" applyFont="1" applyBorder="1" applyAlignment="1">
      <alignment horizontal="center" vertical="center"/>
    </xf>
    <xf numFmtId="4" fontId="10" fillId="0" borderId="6" xfId="0" applyNumberFormat="1" applyFont="1" applyBorder="1" applyAlignment="1">
      <alignment horizontal="center" vertical="center"/>
    </xf>
    <xf numFmtId="10" fontId="10" fillId="0" borderId="16" xfId="2" applyNumberFormat="1" applyFont="1" applyBorder="1" applyAlignment="1" applyProtection="1">
      <alignment horizontal="center" vertical="center"/>
    </xf>
    <xf numFmtId="0" fontId="10" fillId="0" borderId="5" xfId="0" applyFont="1" applyBorder="1" applyAlignment="1">
      <alignment horizontal="center" vertical="center"/>
    </xf>
    <xf numFmtId="10" fontId="10" fillId="0" borderId="6" xfId="2" applyNumberFormat="1" applyFont="1" applyBorder="1" applyAlignment="1" applyProtection="1">
      <alignment horizontal="center" vertical="center"/>
    </xf>
    <xf numFmtId="170" fontId="3" fillId="0" borderId="11" xfId="6" applyNumberFormat="1" applyFont="1" applyBorder="1" applyAlignment="1" applyProtection="1">
      <alignment horizontal="center" vertical="center"/>
    </xf>
    <xf numFmtId="170" fontId="3" fillId="0" borderId="15" xfId="6" applyNumberFormat="1" applyFont="1" applyBorder="1" applyAlignment="1" applyProtection="1">
      <alignment horizontal="center" vertical="center"/>
    </xf>
    <xf numFmtId="10" fontId="3" fillId="0" borderId="15" xfId="2" applyNumberFormat="1" applyFont="1" applyBorder="1" applyAlignment="1" applyProtection="1">
      <alignment horizontal="center" vertical="center"/>
    </xf>
    <xf numFmtId="170" fontId="3" fillId="0" borderId="18" xfId="6" applyNumberFormat="1" applyFont="1" applyBorder="1" applyAlignment="1" applyProtection="1">
      <alignment horizontal="center" vertical="center"/>
    </xf>
    <xf numFmtId="10" fontId="3" fillId="0" borderId="18" xfId="2" applyNumberFormat="1" applyFont="1" applyBorder="1" applyAlignment="1" applyProtection="1">
      <alignment horizontal="center" vertical="center"/>
    </xf>
    <xf numFmtId="170" fontId="3" fillId="0" borderId="13" xfId="6" applyNumberFormat="1" applyFont="1" applyBorder="1" applyAlignment="1" applyProtection="1">
      <alignment horizontal="center" vertical="center"/>
    </xf>
    <xf numFmtId="0" fontId="6" fillId="3" borderId="7" xfId="0" applyFont="1" applyFill="1" applyBorder="1" applyAlignment="1">
      <alignment horizontal="center" vertical="center" wrapText="1"/>
    </xf>
    <xf numFmtId="166" fontId="3" fillId="0" borderId="16" xfId="0" applyNumberFormat="1" applyFont="1" applyBorder="1" applyAlignment="1">
      <alignment horizontal="center" vertical="center"/>
    </xf>
    <xf numFmtId="0" fontId="11" fillId="0" borderId="5" xfId="0" applyFont="1" applyBorder="1" applyAlignment="1">
      <alignment horizontal="center" vertical="center" wrapText="1"/>
    </xf>
    <xf numFmtId="166" fontId="11" fillId="0" borderId="13" xfId="0" applyNumberFormat="1" applyFont="1" applyBorder="1" applyAlignment="1">
      <alignment horizontal="center" vertical="center"/>
    </xf>
    <xf numFmtId="166" fontId="11" fillId="0" borderId="6" xfId="0" applyNumberFormat="1" applyFont="1" applyBorder="1" applyAlignment="1">
      <alignment horizontal="center" vertical="center"/>
    </xf>
    <xf numFmtId="166" fontId="6" fillId="3" borderId="21" xfId="0" applyNumberFormat="1" applyFont="1" applyFill="1" applyBorder="1" applyAlignment="1">
      <alignment horizontal="center" vertical="center"/>
    </xf>
    <xf numFmtId="166" fontId="6" fillId="3" borderId="22" xfId="0" applyNumberFormat="1"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xf numFmtId="0" fontId="6" fillId="0" borderId="0" xfId="0" applyFont="1" applyBorder="1" applyAlignment="1">
      <alignment horizontal="left"/>
    </xf>
    <xf numFmtId="0" fontId="5" fillId="0" borderId="0" xfId="0" applyFont="1" applyBorder="1" applyAlignment="1">
      <alignment horizontal="center"/>
    </xf>
    <xf numFmtId="0" fontId="13" fillId="0" borderId="0" xfId="0" applyFont="1" applyBorder="1" applyAlignment="1">
      <alignment horizontal="left"/>
    </xf>
    <xf numFmtId="0" fontId="9" fillId="0" borderId="0" xfId="3" applyFont="1" applyBorder="1" applyAlignment="1">
      <alignment horizontal="center" vertical="center"/>
    </xf>
    <xf numFmtId="0" fontId="10" fillId="0" borderId="0" xfId="3" applyFont="1" applyBorder="1" applyAlignment="1">
      <alignment horizontal="left" vertical="center"/>
    </xf>
    <xf numFmtId="0" fontId="10" fillId="0" borderId="15" xfId="3" applyFont="1" applyBorder="1" applyAlignment="1">
      <alignment horizontal="center" vertical="center"/>
    </xf>
    <xf numFmtId="0" fontId="10" fillId="0" borderId="15" xfId="3" applyFont="1" applyBorder="1" applyAlignment="1">
      <alignment horizontal="left" vertical="center"/>
    </xf>
    <xf numFmtId="0" fontId="3" fillId="0" borderId="0" xfId="3" applyFont="1" applyAlignment="1">
      <alignment horizontal="center" vertical="center"/>
    </xf>
    <xf numFmtId="0" fontId="3" fillId="0" borderId="0" xfId="3" applyFont="1" applyAlignment="1">
      <alignment horizontal="left" vertical="center"/>
    </xf>
    <xf numFmtId="0" fontId="9" fillId="0" borderId="15" xfId="3" applyFont="1" applyBorder="1" applyAlignment="1">
      <alignment horizontal="center" vertical="center"/>
    </xf>
    <xf numFmtId="0" fontId="9" fillId="0" borderId="15" xfId="3"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vertical="center" wrapText="1"/>
    </xf>
    <xf numFmtId="4" fontId="3" fillId="0" borderId="42"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6" fillId="0" borderId="0" xfId="0" applyFont="1" applyAlignment="1">
      <alignment vertical="center"/>
    </xf>
    <xf numFmtId="10" fontId="3" fillId="0" borderId="42" xfId="0" applyNumberFormat="1" applyFont="1" applyBorder="1" applyAlignment="1">
      <alignment horizontal="center" vertical="center" wrapText="1"/>
    </xf>
    <xf numFmtId="0" fontId="3" fillId="0" borderId="42" xfId="0" applyFont="1" applyBorder="1" applyAlignment="1">
      <alignment horizontal="justify" vertical="center" wrapText="1"/>
    </xf>
    <xf numFmtId="0" fontId="6" fillId="0" borderId="42" xfId="0" applyFont="1" applyBorder="1" applyAlignment="1">
      <alignment vertical="center" wrapText="1"/>
    </xf>
    <xf numFmtId="0" fontId="6" fillId="0" borderId="32" xfId="0" applyFont="1" applyBorder="1" applyAlignment="1">
      <alignment vertical="center" wrapText="1"/>
    </xf>
    <xf numFmtId="4" fontId="6" fillId="0" borderId="42" xfId="0" applyNumberFormat="1" applyFont="1" applyBorder="1" applyAlignment="1">
      <alignment horizontal="center" vertical="center" wrapText="1"/>
    </xf>
    <xf numFmtId="0" fontId="15" fillId="0" borderId="42" xfId="0" applyFont="1" applyBorder="1" applyAlignment="1">
      <alignment vertical="center" wrapText="1"/>
    </xf>
    <xf numFmtId="4" fontId="3" fillId="0" borderId="0" xfId="0" applyNumberFormat="1" applyFont="1"/>
    <xf numFmtId="0" fontId="6" fillId="0" borderId="41" xfId="0" applyFont="1" applyBorder="1" applyAlignment="1">
      <alignment horizontal="center" vertical="center" wrapText="1"/>
    </xf>
    <xf numFmtId="4" fontId="3" fillId="0" borderId="42" xfId="0" applyNumberFormat="1" applyFont="1" applyBorder="1" applyAlignment="1">
      <alignment vertical="center" wrapText="1"/>
    </xf>
    <xf numFmtId="0" fontId="3" fillId="7" borderId="15" xfId="0" applyFont="1" applyFill="1" applyBorder="1" applyAlignment="1">
      <alignment horizontal="center" vertical="center"/>
    </xf>
    <xf numFmtId="2" fontId="3" fillId="0" borderId="42" xfId="0" applyNumberFormat="1" applyFont="1" applyBorder="1" applyAlignment="1">
      <alignment horizontal="center" vertical="center" wrapText="1"/>
    </xf>
    <xf numFmtId="174" fontId="3" fillId="0" borderId="42" xfId="0" applyNumberFormat="1" applyFont="1" applyBorder="1" applyAlignment="1">
      <alignment horizontal="center" vertical="center" wrapText="1"/>
    </xf>
    <xf numFmtId="174" fontId="3" fillId="0" borderId="0" xfId="0" applyNumberFormat="1" applyFont="1"/>
    <xf numFmtId="0" fontId="3" fillId="7" borderId="15" xfId="0" applyFont="1" applyFill="1" applyBorder="1" applyAlignment="1">
      <alignment horizontal="left" vertical="center" wrapText="1"/>
    </xf>
    <xf numFmtId="10" fontId="3" fillId="0" borderId="42" xfId="0" applyNumberFormat="1" applyFont="1" applyFill="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4" fontId="6" fillId="0" borderId="11" xfId="0" applyNumberFormat="1" applyFont="1" applyBorder="1" applyAlignment="1">
      <alignment vertical="center"/>
    </xf>
    <xf numFmtId="0" fontId="6" fillId="0" borderId="11" xfId="0" applyFont="1" applyBorder="1" applyAlignment="1">
      <alignment vertical="center"/>
    </xf>
    <xf numFmtId="0" fontId="6" fillId="0" borderId="12" xfId="0" applyFont="1" applyBorder="1" applyAlignment="1">
      <alignment horizontal="center" vertical="center"/>
    </xf>
    <xf numFmtId="0" fontId="3" fillId="7" borderId="14" xfId="0" applyFont="1" applyFill="1" applyBorder="1" applyAlignment="1">
      <alignment horizontal="center" vertical="center"/>
    </xf>
    <xf numFmtId="174" fontId="3" fillId="0" borderId="15" xfId="0" applyNumberFormat="1" applyFont="1" applyBorder="1" applyAlignment="1"/>
    <xf numFmtId="4" fontId="3" fillId="0" borderId="16" xfId="0" applyNumberFormat="1" applyFont="1" applyBorder="1" applyAlignment="1"/>
    <xf numFmtId="4" fontId="3" fillId="0" borderId="15" xfId="0" applyNumberFormat="1" applyFont="1" applyBorder="1" applyAlignment="1"/>
    <xf numFmtId="0" fontId="3" fillId="7" borderId="5" xfId="0" applyFont="1" applyFill="1" applyBorder="1" applyAlignment="1">
      <alignment horizontal="center" vertical="center"/>
    </xf>
    <xf numFmtId="0" fontId="3" fillId="7" borderId="13" xfId="0" applyFont="1" applyFill="1" applyBorder="1" applyAlignment="1">
      <alignment horizontal="left" vertical="center" wrapText="1"/>
    </xf>
    <xf numFmtId="0" fontId="3" fillId="7" borderId="13" xfId="0" applyFont="1" applyFill="1" applyBorder="1" applyAlignment="1">
      <alignment horizontal="center" vertical="center"/>
    </xf>
    <xf numFmtId="174" fontId="3" fillId="0" borderId="13" xfId="0" applyNumberFormat="1" applyFont="1" applyBorder="1" applyAlignment="1"/>
    <xf numFmtId="4" fontId="3" fillId="0" borderId="13" xfId="0" applyNumberFormat="1" applyFont="1" applyBorder="1" applyAlignment="1"/>
    <xf numFmtId="4" fontId="3" fillId="0" borderId="6" xfId="0" applyNumberFormat="1" applyFont="1" applyBorder="1" applyAlignment="1"/>
    <xf numFmtId="4" fontId="3" fillId="0" borderId="0" xfId="0" applyNumberFormat="1" applyFont="1" applyBorder="1" applyAlignment="1">
      <alignment horizontal="right" vertical="center"/>
    </xf>
    <xf numFmtId="4" fontId="6" fillId="0" borderId="0" xfId="0" applyNumberFormat="1" applyFont="1" applyBorder="1" applyAlignment="1">
      <alignment horizontal="right" vertical="center"/>
    </xf>
    <xf numFmtId="4" fontId="3" fillId="0" borderId="0" xfId="0" applyNumberFormat="1" applyFont="1" applyBorder="1" applyAlignment="1">
      <alignment horizontal="center" vertical="center"/>
    </xf>
    <xf numFmtId="4" fontId="6" fillId="10" borderId="41" xfId="0" applyNumberFormat="1" applyFont="1" applyFill="1" applyBorder="1" applyAlignment="1">
      <alignment horizontal="center" vertical="center"/>
    </xf>
    <xf numFmtId="4" fontId="6" fillId="10" borderId="41" xfId="0" applyNumberFormat="1" applyFont="1" applyFill="1" applyBorder="1" applyAlignment="1">
      <alignment horizontal="right" vertical="center"/>
    </xf>
    <xf numFmtId="0" fontId="6" fillId="10" borderId="2" xfId="0" applyFont="1" applyFill="1" applyBorder="1" applyAlignment="1">
      <alignment horizontal="center" vertical="center"/>
    </xf>
    <xf numFmtId="0" fontId="6" fillId="10" borderId="2" xfId="0" applyFont="1" applyFill="1" applyBorder="1" applyAlignment="1">
      <alignment vertical="center"/>
    </xf>
    <xf numFmtId="0" fontId="21" fillId="0" borderId="29" xfId="0" applyFont="1" applyFill="1" applyBorder="1" applyAlignment="1">
      <alignment horizontal="center" vertical="center"/>
    </xf>
    <xf numFmtId="0" fontId="0" fillId="0" borderId="0" xfId="0" applyFill="1"/>
    <xf numFmtId="0" fontId="21" fillId="0" borderId="31" xfId="0" applyFont="1" applyFill="1" applyBorder="1" applyAlignment="1">
      <alignment horizontal="center" vertical="center"/>
    </xf>
    <xf numFmtId="0" fontId="21" fillId="0" borderId="2"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5" xfId="0" applyFont="1" applyFill="1" applyBorder="1"/>
    <xf numFmtId="0" fontId="23" fillId="0" borderId="15" xfId="0" applyFont="1" applyFill="1" applyBorder="1" applyAlignment="1">
      <alignment horizontal="center" vertical="center"/>
    </xf>
    <xf numFmtId="174" fontId="23" fillId="0" borderId="15" xfId="0" applyNumberFormat="1" applyFont="1" applyFill="1" applyBorder="1" applyAlignment="1">
      <alignment horizontal="center" vertical="center"/>
    </xf>
    <xf numFmtId="1" fontId="23" fillId="0" borderId="14" xfId="0" applyNumberFormat="1" applyFont="1" applyFill="1" applyBorder="1" applyAlignment="1">
      <alignment horizontal="center" vertical="center"/>
    </xf>
    <xf numFmtId="1" fontId="23" fillId="0" borderId="15" xfId="0" applyNumberFormat="1" applyFont="1" applyFill="1" applyBorder="1" applyAlignment="1">
      <alignment horizontal="center" vertical="center"/>
    </xf>
    <xf numFmtId="0" fontId="23" fillId="0" borderId="17" xfId="0" applyFont="1" applyFill="1" applyBorder="1" applyAlignment="1">
      <alignment horizontal="center" vertical="center"/>
    </xf>
    <xf numFmtId="0" fontId="23" fillId="0" borderId="18" xfId="0" applyFont="1" applyFill="1" applyBorder="1"/>
    <xf numFmtId="0" fontId="23" fillId="0" borderId="18" xfId="0" applyFont="1" applyFill="1" applyBorder="1" applyAlignment="1">
      <alignment horizontal="center" vertical="center"/>
    </xf>
    <xf numFmtId="174" fontId="23" fillId="0" borderId="18" xfId="0" applyNumberFormat="1" applyFont="1" applyFill="1" applyBorder="1" applyAlignment="1">
      <alignment horizontal="center" vertical="center"/>
    </xf>
    <xf numFmtId="1" fontId="23" fillId="0" borderId="5" xfId="0" applyNumberFormat="1" applyFont="1" applyFill="1" applyBorder="1" applyAlignment="1">
      <alignment horizontal="center" vertical="center"/>
    </xf>
    <xf numFmtId="1" fontId="23" fillId="0" borderId="13" xfId="0" applyNumberFormat="1" applyFont="1" applyFill="1" applyBorder="1" applyAlignment="1">
      <alignment horizontal="center" vertical="center"/>
    </xf>
    <xf numFmtId="174" fontId="23" fillId="0" borderId="13" xfId="0" applyNumberFormat="1" applyFont="1" applyFill="1" applyBorder="1" applyAlignment="1">
      <alignment horizontal="center" vertical="center"/>
    </xf>
    <xf numFmtId="0" fontId="23" fillId="0" borderId="3" xfId="0" applyFont="1" applyFill="1" applyBorder="1" applyAlignment="1">
      <alignment horizontal="center" vertical="center"/>
    </xf>
    <xf numFmtId="0" fontId="23" fillId="0" borderId="37" xfId="0" applyFont="1" applyFill="1" applyBorder="1"/>
    <xf numFmtId="0" fontId="23" fillId="0" borderId="37" xfId="0" applyFont="1" applyFill="1" applyBorder="1" applyAlignment="1">
      <alignment horizontal="center" vertical="center"/>
    </xf>
    <xf numFmtId="174" fontId="23" fillId="0" borderId="37" xfId="0" applyNumberFormat="1" applyFont="1" applyFill="1" applyBorder="1" applyAlignment="1">
      <alignment horizontal="center" vertical="center"/>
    </xf>
    <xf numFmtId="174" fontId="23" fillId="0" borderId="16" xfId="0" applyNumberFormat="1" applyFont="1" applyFill="1" applyBorder="1" applyAlignment="1">
      <alignment horizontal="center" vertical="center"/>
    </xf>
    <xf numFmtId="174" fontId="23" fillId="0" borderId="19" xfId="0" applyNumberFormat="1" applyFont="1" applyFill="1" applyBorder="1" applyAlignment="1">
      <alignment horizontal="center" vertical="center"/>
    </xf>
    <xf numFmtId="0" fontId="23" fillId="0" borderId="37" xfId="0" applyFont="1" applyFill="1" applyBorder="1" applyAlignment="1">
      <alignment horizontal="left" vertical="center"/>
    </xf>
    <xf numFmtId="0" fontId="23" fillId="0" borderId="15" xfId="0" applyFont="1" applyFill="1" applyBorder="1" applyAlignment="1">
      <alignment horizontal="left" vertical="center"/>
    </xf>
    <xf numFmtId="0" fontId="23" fillId="0" borderId="18" xfId="0" applyFont="1" applyFill="1" applyBorder="1" applyAlignment="1">
      <alignment horizontal="left" vertical="center"/>
    </xf>
    <xf numFmtId="0" fontId="24" fillId="0" borderId="15" xfId="0" applyFont="1" applyFill="1" applyBorder="1" applyAlignment="1">
      <alignment horizontal="left" vertical="center"/>
    </xf>
    <xf numFmtId="0" fontId="24" fillId="0" borderId="15" xfId="0" applyFont="1" applyFill="1" applyBorder="1" applyAlignment="1">
      <alignment horizontal="center" vertical="center"/>
    </xf>
    <xf numFmtId="174" fontId="24" fillId="0" borderId="15" xfId="0" applyNumberFormat="1" applyFont="1" applyFill="1" applyBorder="1" applyAlignment="1">
      <alignment horizontal="center" vertical="center"/>
    </xf>
    <xf numFmtId="174" fontId="24" fillId="0" borderId="16" xfId="0" applyNumberFormat="1" applyFont="1" applyFill="1" applyBorder="1" applyAlignment="1">
      <alignment horizontal="center" vertical="center"/>
    </xf>
    <xf numFmtId="0" fontId="23" fillId="0" borderId="5" xfId="0" applyFont="1" applyFill="1" applyBorder="1" applyAlignment="1">
      <alignment horizontal="center" vertical="center"/>
    </xf>
    <xf numFmtId="0" fontId="23" fillId="0" borderId="13" xfId="0" applyFont="1" applyFill="1" applyBorder="1" applyAlignment="1">
      <alignment horizontal="left" vertical="center"/>
    </xf>
    <xf numFmtId="0" fontId="23" fillId="0" borderId="13" xfId="0" applyFont="1" applyFill="1" applyBorder="1" applyAlignment="1">
      <alignment horizontal="center" vertical="center"/>
    </xf>
    <xf numFmtId="174" fontId="23" fillId="0" borderId="6" xfId="0" applyNumberFormat="1" applyFont="1" applyFill="1" applyBorder="1" applyAlignment="1">
      <alignment horizontal="center" vertical="center"/>
    </xf>
    <xf numFmtId="0" fontId="24" fillId="0" borderId="11" xfId="0" applyFont="1" applyFill="1" applyBorder="1"/>
    <xf numFmtId="0" fontId="23" fillId="0" borderId="11" xfId="0" applyFont="1" applyFill="1" applyBorder="1" applyAlignment="1">
      <alignment horizontal="center" vertical="center"/>
    </xf>
    <xf numFmtId="174" fontId="23" fillId="0" borderId="11" xfId="0" applyNumberFormat="1" applyFont="1" applyFill="1" applyBorder="1" applyAlignment="1">
      <alignment horizontal="center" vertical="center"/>
    </xf>
    <xf numFmtId="174" fontId="23" fillId="0" borderId="33" xfId="0" applyNumberFormat="1" applyFont="1" applyFill="1" applyBorder="1" applyAlignment="1">
      <alignment horizontal="center" vertical="center"/>
    </xf>
    <xf numFmtId="1" fontId="23" fillId="0" borderId="3" xfId="0" applyNumberFormat="1" applyFont="1" applyFill="1" applyBorder="1" applyAlignment="1">
      <alignment horizontal="center" vertical="center"/>
    </xf>
    <xf numFmtId="1" fontId="23" fillId="0" borderId="37" xfId="0" applyNumberFormat="1" applyFont="1" applyFill="1" applyBorder="1" applyAlignment="1">
      <alignment horizontal="center" vertical="center"/>
    </xf>
    <xf numFmtId="174" fontId="23" fillId="0" borderId="4" xfId="0" applyNumberFormat="1" applyFont="1" applyFill="1" applyBorder="1" applyAlignment="1">
      <alignment horizontal="center" vertical="center"/>
    </xf>
    <xf numFmtId="0" fontId="24" fillId="0" borderId="15" xfId="0" applyFont="1" applyFill="1" applyBorder="1"/>
    <xf numFmtId="174" fontId="23" fillId="0" borderId="34" xfId="0" applyNumberFormat="1" applyFont="1" applyFill="1" applyBorder="1" applyAlignment="1">
      <alignment horizontal="center" vertical="center"/>
    </xf>
    <xf numFmtId="174" fontId="23" fillId="0" borderId="5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0" xfId="0" applyFont="1" applyFill="1" applyBorder="1" applyAlignment="1">
      <alignment horizontal="left" vertical="center"/>
    </xf>
    <xf numFmtId="174" fontId="23" fillId="0" borderId="0" xfId="0" applyNumberFormat="1" applyFont="1" applyFill="1" applyBorder="1" applyAlignment="1">
      <alignment horizontal="center" vertical="center"/>
    </xf>
    <xf numFmtId="0" fontId="0" fillId="0" borderId="0" xfId="0" applyFill="1" applyBorder="1"/>
    <xf numFmtId="174" fontId="0" fillId="0" borderId="0" xfId="0" applyNumberFormat="1" applyFill="1" applyBorder="1"/>
    <xf numFmtId="0" fontId="21" fillId="0" borderId="0" xfId="0" applyFont="1" applyFill="1" applyBorder="1" applyAlignment="1">
      <alignment vertical="center"/>
    </xf>
    <xf numFmtId="174" fontId="23" fillId="0" borderId="35" xfId="0" applyNumberFormat="1" applyFont="1" applyFill="1" applyBorder="1" applyAlignment="1">
      <alignment horizontal="center" vertical="center"/>
    </xf>
    <xf numFmtId="9" fontId="20" fillId="0" borderId="2" xfId="0" applyNumberFormat="1" applyFont="1" applyBorder="1" applyAlignment="1">
      <alignment horizontal="center" vertical="center"/>
    </xf>
    <xf numFmtId="174" fontId="20" fillId="0" borderId="52" xfId="0" applyNumberFormat="1" applyFont="1" applyBorder="1" applyAlignment="1">
      <alignment horizontal="center" vertical="center"/>
    </xf>
    <xf numFmtId="174" fontId="20" fillId="0" borderId="41" xfId="0" applyNumberFormat="1" applyFont="1" applyBorder="1" applyAlignment="1">
      <alignment horizontal="center" vertical="center"/>
    </xf>
    <xf numFmtId="174" fontId="0" fillId="0" borderId="2" xfId="0" applyNumberFormat="1" applyFill="1" applyBorder="1"/>
    <xf numFmtId="4" fontId="3" fillId="12" borderId="42" xfId="0" applyNumberFormat="1" applyFont="1" applyFill="1" applyBorder="1" applyAlignment="1">
      <alignment vertical="center" wrapText="1"/>
    </xf>
    <xf numFmtId="4" fontId="20" fillId="12" borderId="2" xfId="0" applyNumberFormat="1" applyFont="1" applyFill="1" applyBorder="1"/>
    <xf numFmtId="165" fontId="20" fillId="12" borderId="2" xfId="1" applyFont="1" applyFill="1" applyBorder="1" applyAlignment="1">
      <alignment horizontal="center" vertical="center"/>
    </xf>
    <xf numFmtId="4" fontId="10" fillId="0" borderId="42" xfId="0" applyNumberFormat="1" applyFont="1" applyBorder="1" applyAlignment="1">
      <alignment horizontal="center" vertical="center" wrapText="1"/>
    </xf>
    <xf numFmtId="0" fontId="10" fillId="0" borderId="53" xfId="3" applyFont="1" applyBorder="1" applyAlignment="1">
      <alignment horizontal="center" vertical="center"/>
    </xf>
    <xf numFmtId="0" fontId="10" fillId="0" borderId="53" xfId="3" applyFont="1" applyBorder="1" applyAlignment="1">
      <alignment horizontal="left" vertical="center"/>
    </xf>
    <xf numFmtId="0" fontId="4" fillId="2" borderId="0" xfId="0" applyFont="1" applyFill="1" applyBorder="1" applyAlignment="1">
      <alignment horizontal="center"/>
    </xf>
    <xf numFmtId="0" fontId="5" fillId="0" borderId="0" xfId="0" applyFont="1" applyBorder="1" applyAlignment="1">
      <alignment horizontal="left" vertical="center" wrapText="1"/>
    </xf>
    <xf numFmtId="0" fontId="6" fillId="2" borderId="0"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0" borderId="0" xfId="0" applyFont="1" applyBorder="1" applyAlignment="1">
      <alignment horizontal="center" vertical="center"/>
    </xf>
    <xf numFmtId="0" fontId="8" fillId="0" borderId="0" xfId="0" applyFont="1" applyBorder="1" applyAlignment="1">
      <alignment horizontal="center" vertical="center" wrapText="1"/>
    </xf>
    <xf numFmtId="0" fontId="6" fillId="3" borderId="2" xfId="0" applyFont="1" applyFill="1" applyBorder="1" applyAlignment="1">
      <alignment horizontal="center" vertical="center" wrapText="1"/>
    </xf>
    <xf numFmtId="0" fontId="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3" borderId="24" xfId="0" applyFont="1" applyFill="1" applyBorder="1" applyAlignment="1">
      <alignment horizontal="center" vertical="center"/>
    </xf>
    <xf numFmtId="0" fontId="3" fillId="0" borderId="23" xfId="0" applyFont="1" applyBorder="1" applyAlignment="1">
      <alignment horizontal="center" vertical="center"/>
    </xf>
    <xf numFmtId="0" fontId="6" fillId="3" borderId="29" xfId="0" applyFont="1" applyFill="1" applyBorder="1" applyAlignment="1">
      <alignment horizontal="center" vertical="center" wrapText="1"/>
    </xf>
    <xf numFmtId="0" fontId="5" fillId="7" borderId="0" xfId="0" applyFont="1" applyFill="1" applyBorder="1" applyAlignment="1">
      <alignment horizontal="left" vertical="center" wrapText="1"/>
    </xf>
    <xf numFmtId="0" fontId="6" fillId="3" borderId="36" xfId="0" applyFont="1" applyFill="1" applyBorder="1" applyAlignment="1">
      <alignment horizontal="center" vertical="center" wrapText="1"/>
    </xf>
    <xf numFmtId="0" fontId="6" fillId="3" borderId="29" xfId="0" applyFont="1" applyFill="1" applyBorder="1" applyAlignment="1">
      <alignment horizontal="center" vertical="center"/>
    </xf>
    <xf numFmtId="0" fontId="9" fillId="3" borderId="2" xfId="0" applyFont="1" applyFill="1" applyBorder="1" applyAlignment="1">
      <alignment horizontal="center" vertical="center"/>
    </xf>
    <xf numFmtId="0" fontId="6" fillId="3" borderId="41" xfId="0" applyFont="1" applyFill="1" applyBorder="1" applyAlignment="1">
      <alignment horizontal="center" vertical="center"/>
    </xf>
    <xf numFmtId="0" fontId="9" fillId="3" borderId="29" xfId="0" applyFont="1" applyFill="1" applyBorder="1" applyAlignment="1">
      <alignment horizontal="center" vertical="center"/>
    </xf>
    <xf numFmtId="0" fontId="5" fillId="0" borderId="0" xfId="0" applyFont="1" applyBorder="1" applyAlignment="1">
      <alignment horizontal="center" vertical="center"/>
    </xf>
    <xf numFmtId="0" fontId="9" fillId="3" borderId="38" xfId="0" applyFont="1" applyFill="1" applyBorder="1" applyAlignment="1">
      <alignment horizontal="center" vertical="center" wrapText="1"/>
    </xf>
    <xf numFmtId="0" fontId="4" fillId="0" borderId="0" xfId="0" applyFont="1" applyBorder="1" applyAlignment="1">
      <alignment horizontal="center"/>
    </xf>
    <xf numFmtId="0" fontId="9" fillId="0" borderId="0" xfId="0" applyFont="1" applyBorder="1" applyAlignment="1">
      <alignment horizontal="left"/>
    </xf>
    <xf numFmtId="0" fontId="6" fillId="3" borderId="31"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2" xfId="0" applyFont="1" applyFill="1" applyBorder="1" applyAlignment="1">
      <alignment horizontal="center" vertical="center"/>
    </xf>
    <xf numFmtId="171" fontId="10" fillId="0" borderId="53" xfId="3" applyNumberFormat="1" applyFont="1" applyBorder="1" applyAlignment="1">
      <alignment horizontal="center" vertical="center"/>
    </xf>
    <xf numFmtId="172" fontId="3" fillId="0" borderId="0" xfId="3" applyNumberFormat="1" applyFont="1" applyBorder="1" applyAlignment="1">
      <alignment horizontal="center" vertical="center"/>
    </xf>
    <xf numFmtId="0" fontId="10" fillId="0" borderId="15" xfId="3" applyFont="1" applyBorder="1" applyAlignment="1">
      <alignment horizontal="center" vertical="center"/>
    </xf>
    <xf numFmtId="0" fontId="10" fillId="0" borderId="0" xfId="3" applyFont="1" applyBorder="1" applyAlignment="1">
      <alignment horizontal="center" vertical="center"/>
    </xf>
    <xf numFmtId="0" fontId="3" fillId="0" borderId="15" xfId="3" applyFont="1" applyBorder="1" applyAlignment="1">
      <alignment horizontal="center" vertical="center" wrapText="1"/>
    </xf>
    <xf numFmtId="0" fontId="3" fillId="0" borderId="0" xfId="3" applyFont="1" applyBorder="1" applyAlignment="1">
      <alignment horizontal="center" vertical="center" wrapText="1"/>
    </xf>
    <xf numFmtId="0" fontId="6" fillId="3" borderId="0" xfId="0" applyFont="1" applyFill="1" applyBorder="1" applyAlignment="1">
      <alignment horizontal="center" vertical="center"/>
    </xf>
    <xf numFmtId="0" fontId="9" fillId="0" borderId="15" xfId="3" applyFont="1" applyBorder="1" applyAlignment="1">
      <alignment horizontal="center" vertical="center"/>
    </xf>
    <xf numFmtId="0" fontId="14" fillId="0" borderId="15" xfId="3" applyFont="1" applyBorder="1" applyAlignment="1">
      <alignment horizontal="justify" vertical="center" wrapText="1"/>
    </xf>
    <xf numFmtId="0" fontId="6" fillId="0" borderId="2" xfId="0" applyFont="1" applyBorder="1" applyAlignment="1">
      <alignment horizontal="center" vertical="center" wrapText="1"/>
    </xf>
    <xf numFmtId="0" fontId="6" fillId="9" borderId="0" xfId="0" applyFont="1" applyFill="1" applyBorder="1" applyAlignment="1">
      <alignment horizontal="center" vertical="center"/>
    </xf>
    <xf numFmtId="0" fontId="6" fillId="9" borderId="0" xfId="0" applyFont="1" applyFill="1" applyBorder="1" applyAlignment="1">
      <alignment horizontal="center" vertical="center" wrapText="1"/>
    </xf>
    <xf numFmtId="0" fontId="6" fillId="12" borderId="2" xfId="0" applyFont="1" applyFill="1" applyBorder="1" applyAlignment="1">
      <alignment horizontal="center" vertical="center" wrapText="1"/>
    </xf>
    <xf numFmtId="0" fontId="18" fillId="0" borderId="1" xfId="0" applyFont="1" applyBorder="1" applyAlignment="1">
      <alignment horizontal="left" wrapText="1"/>
    </xf>
    <xf numFmtId="0" fontId="18" fillId="0" borderId="0" xfId="0" applyFont="1" applyBorder="1" applyAlignment="1">
      <alignment horizontal="left" wrapText="1"/>
    </xf>
    <xf numFmtId="0" fontId="15" fillId="0" borderId="1" xfId="0" applyFont="1" applyBorder="1" applyAlignment="1">
      <alignment horizontal="left" wrapText="1"/>
    </xf>
    <xf numFmtId="0" fontId="15" fillId="0" borderId="0" xfId="0" applyFont="1" applyAlignment="1">
      <alignment horizontal="left" wrapText="1"/>
    </xf>
    <xf numFmtId="0" fontId="15" fillId="0" borderId="0" xfId="0" applyFont="1" applyBorder="1" applyAlignment="1">
      <alignment horizontal="left" vertical="center" wrapText="1"/>
    </xf>
    <xf numFmtId="0" fontId="15" fillId="0" borderId="0" xfId="0" applyFont="1" applyBorder="1" applyAlignment="1">
      <alignment horizontal="left" wrapText="1"/>
    </xf>
    <xf numFmtId="174" fontId="23" fillId="0" borderId="34" xfId="0" applyNumberFormat="1" applyFont="1" applyFill="1" applyBorder="1" applyAlignment="1">
      <alignment horizontal="center" vertical="center"/>
    </xf>
    <xf numFmtId="174" fontId="23" fillId="0" borderId="48" xfId="0" applyNumberFormat="1" applyFont="1" applyFill="1" applyBorder="1" applyAlignment="1">
      <alignment horizontal="center" vertical="center"/>
    </xf>
    <xf numFmtId="0" fontId="21" fillId="0" borderId="31" xfId="0" applyFont="1" applyFill="1" applyBorder="1" applyAlignment="1">
      <alignment horizontal="center" vertical="center"/>
    </xf>
    <xf numFmtId="0" fontId="21" fillId="0" borderId="32"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36" xfId="0" applyFont="1" applyFill="1" applyBorder="1" applyAlignment="1">
      <alignment horizontal="center" vertical="center"/>
    </xf>
    <xf numFmtId="174" fontId="23" fillId="0" borderId="33" xfId="0" applyNumberFormat="1" applyFont="1" applyFill="1" applyBorder="1" applyAlignment="1">
      <alignment horizontal="center" vertical="center"/>
    </xf>
    <xf numFmtId="174" fontId="23" fillId="0" borderId="43" xfId="0" applyNumberFormat="1" applyFont="1" applyFill="1" applyBorder="1" applyAlignment="1">
      <alignment horizontal="center" vertical="center"/>
    </xf>
    <xf numFmtId="174" fontId="23" fillId="0" borderId="44" xfId="0" applyNumberFormat="1" applyFont="1" applyFill="1" applyBorder="1" applyAlignment="1">
      <alignment horizontal="center" vertical="center"/>
    </xf>
    <xf numFmtId="174" fontId="23" fillId="0" borderId="35" xfId="0" applyNumberFormat="1" applyFont="1" applyFill="1" applyBorder="1" applyAlignment="1">
      <alignment horizontal="center" vertical="center"/>
    </xf>
    <xf numFmtId="174" fontId="23" fillId="0" borderId="45" xfId="0" applyNumberFormat="1" applyFont="1" applyFill="1" applyBorder="1" applyAlignment="1">
      <alignment horizontal="center" vertical="center"/>
    </xf>
    <xf numFmtId="174" fontId="23" fillId="0" borderId="46" xfId="0" applyNumberFormat="1" applyFont="1" applyFill="1" applyBorder="1" applyAlignment="1">
      <alignment horizontal="center" vertical="center"/>
    </xf>
    <xf numFmtId="0" fontId="21" fillId="11" borderId="31" xfId="0" applyFont="1" applyFill="1" applyBorder="1" applyAlignment="1">
      <alignment horizontal="center" vertical="center"/>
    </xf>
    <xf numFmtId="0" fontId="21" fillId="11" borderId="32" xfId="0" applyFont="1" applyFill="1" applyBorder="1" applyAlignment="1">
      <alignment horizontal="center" vertical="center"/>
    </xf>
    <xf numFmtId="174" fontId="21" fillId="11" borderId="36" xfId="0" applyNumberFormat="1" applyFont="1" applyFill="1" applyBorder="1" applyAlignment="1">
      <alignment horizontal="center" vertical="center"/>
    </xf>
    <xf numFmtId="174" fontId="21" fillId="11" borderId="31" xfId="0" applyNumberFormat="1" applyFont="1" applyFill="1" applyBorder="1" applyAlignment="1">
      <alignment horizontal="center" vertical="center"/>
    </xf>
    <xf numFmtId="174" fontId="21" fillId="11" borderId="32" xfId="0" applyNumberFormat="1" applyFont="1" applyFill="1" applyBorder="1" applyAlignment="1">
      <alignment horizontal="center" vertical="center"/>
    </xf>
    <xf numFmtId="0" fontId="22" fillId="0" borderId="31"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2" xfId="0" applyFont="1" applyFill="1" applyBorder="1" applyAlignment="1">
      <alignment horizontal="center" vertical="center" wrapText="1"/>
    </xf>
    <xf numFmtId="174" fontId="23" fillId="0" borderId="47" xfId="0" applyNumberFormat="1" applyFont="1" applyFill="1" applyBorder="1" applyAlignment="1">
      <alignment horizontal="center" vertical="center"/>
    </xf>
    <xf numFmtId="174" fontId="23" fillId="0" borderId="49" xfId="0" applyNumberFormat="1" applyFont="1" applyFill="1" applyBorder="1" applyAlignment="1">
      <alignment horizontal="center" vertical="center"/>
    </xf>
    <xf numFmtId="0" fontId="22" fillId="0" borderId="32" xfId="0" applyFont="1" applyFill="1" applyBorder="1" applyAlignment="1">
      <alignment horizontal="center" vertical="center"/>
    </xf>
    <xf numFmtId="174" fontId="23" fillId="0" borderId="50" xfId="0" applyNumberFormat="1" applyFont="1" applyFill="1" applyBorder="1" applyAlignment="1">
      <alignment horizontal="center" vertical="center"/>
    </xf>
    <xf numFmtId="174" fontId="23" fillId="0" borderId="51" xfId="0" applyNumberFormat="1" applyFont="1" applyFill="1" applyBorder="1" applyAlignment="1">
      <alignment horizontal="center" vertical="center"/>
    </xf>
    <xf numFmtId="174" fontId="24" fillId="0" borderId="34" xfId="0" applyNumberFormat="1" applyFont="1" applyFill="1" applyBorder="1" applyAlignment="1">
      <alignment horizontal="center" vertical="center"/>
    </xf>
    <xf numFmtId="174" fontId="24" fillId="0" borderId="48" xfId="0" applyNumberFormat="1" applyFont="1" applyFill="1" applyBorder="1" applyAlignment="1">
      <alignment horizontal="center" vertical="center"/>
    </xf>
    <xf numFmtId="0" fontId="21" fillId="0" borderId="36" xfId="0" applyFont="1" applyFill="1" applyBorder="1" applyAlignment="1">
      <alignment horizontal="center" vertical="center"/>
    </xf>
    <xf numFmtId="174" fontId="23" fillId="0" borderId="15" xfId="0" applyNumberFormat="1" applyFont="1" applyFill="1" applyBorder="1" applyAlignment="1">
      <alignment horizontal="center" vertical="center"/>
    </xf>
    <xf numFmtId="174" fontId="23" fillId="0" borderId="18" xfId="0" applyNumberFormat="1" applyFont="1" applyFill="1" applyBorder="1" applyAlignment="1">
      <alignment horizontal="center" vertical="center"/>
    </xf>
    <xf numFmtId="174" fontId="23" fillId="0" borderId="0" xfId="0" applyNumberFormat="1" applyFont="1" applyFill="1" applyBorder="1" applyAlignment="1">
      <alignment horizontal="right" vertical="center"/>
    </xf>
    <xf numFmtId="0" fontId="23" fillId="0" borderId="0" xfId="0" applyFont="1" applyFill="1" applyBorder="1" applyAlignment="1">
      <alignment horizontal="right" vertical="center"/>
    </xf>
    <xf numFmtId="0" fontId="21" fillId="0" borderId="0" xfId="0" applyFont="1" applyFill="1" applyBorder="1" applyAlignment="1">
      <alignment horizontal="center" vertical="center" wrapText="1"/>
    </xf>
    <xf numFmtId="174" fontId="21" fillId="0" borderId="0" xfId="0" applyNumberFormat="1" applyFont="1" applyFill="1" applyBorder="1" applyAlignment="1">
      <alignment horizontal="center" vertical="center" wrapText="1"/>
    </xf>
  </cellXfs>
  <cellStyles count="14">
    <cellStyle name="Normal" xfId="0" builtinId="0"/>
    <cellStyle name="Normal 2" xfId="3"/>
    <cellStyle name="Normal 3" xfId="13"/>
    <cellStyle name="Normal 9" xfId="4"/>
    <cellStyle name="Porcentagem" xfId="2" builtinId="5"/>
    <cellStyle name="Vírgula" xfId="1" builtinId="3"/>
    <cellStyle name="Vírgula 2" xfId="5"/>
    <cellStyle name="Vírgula 3" xfId="6"/>
    <cellStyle name="Vírgula 3 2" xfId="7"/>
    <cellStyle name="Vírgula 4" xfId="8"/>
    <cellStyle name="Vírgula 4 2" xfId="9"/>
    <cellStyle name="Vírgula 5" xfId="10"/>
    <cellStyle name="Vírgula 5 2" xfId="11"/>
    <cellStyle name="Vírgula 6"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7D7D7"/>
      <rgbColor rgb="FF808080"/>
      <rgbColor rgb="FF9999FF"/>
      <rgbColor rgb="FF993366"/>
      <rgbColor rgb="FFFBE5D6"/>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DDDDDD"/>
      <rgbColor rgb="FFFFFF99"/>
      <rgbColor rgb="FF9DC3E6"/>
      <rgbColor rgb="FFF4B183"/>
      <rgbColor rgb="FFCC99FF"/>
      <rgbColor rgb="FFF8CBAD"/>
      <rgbColor rgb="FF2E75B6"/>
      <rgbColor rgb="FF33CCCC"/>
      <rgbColor rgb="FF99CC00"/>
      <rgbColor rgb="FFFFCC00"/>
      <rgbColor rgb="FFFF9900"/>
      <rgbColor rgb="FFFF6600"/>
      <rgbColor rgb="FF666699"/>
      <rgbColor rgb="FF969696"/>
      <rgbColor rgb="FF003366"/>
      <rgbColor rgb="FF00B050"/>
      <rgbColor rgb="FF000009"/>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1048576"/>
  <sheetViews>
    <sheetView showGridLines="0" topLeftCell="A241" zoomScale="115" zoomScaleNormal="115" workbookViewId="0">
      <selection activeCell="B245" sqref="B245"/>
    </sheetView>
  </sheetViews>
  <sheetFormatPr defaultColWidth="9.28515625" defaultRowHeight="15.75" x14ac:dyDescent="0.25"/>
  <cols>
    <col min="1" max="1" width="32.140625" style="1" customWidth="1"/>
    <col min="2" max="2" width="19.28515625" style="1" customWidth="1"/>
    <col min="3" max="4" width="22.28515625" style="1" customWidth="1"/>
    <col min="5" max="5" width="18.5703125" style="1" customWidth="1"/>
    <col min="6" max="6" width="17.7109375" style="1" customWidth="1"/>
    <col min="7" max="7" width="15.85546875" style="1" customWidth="1"/>
    <col min="8" max="64" width="9.140625" style="1" customWidth="1"/>
  </cols>
  <sheetData>
    <row r="1" spans="1:8" ht="24" customHeight="1" x14ac:dyDescent="0.35">
      <c r="A1" s="308" t="s">
        <v>0</v>
      </c>
      <c r="B1" s="308"/>
      <c r="C1" s="308"/>
      <c r="D1" s="308"/>
      <c r="E1" s="308"/>
      <c r="F1" s="308"/>
      <c r="G1" s="308"/>
      <c r="H1" s="308"/>
    </row>
    <row r="2" spans="1:8" ht="24" customHeight="1" x14ac:dyDescent="0.35">
      <c r="A2" s="308" t="s">
        <v>1</v>
      </c>
      <c r="B2" s="308"/>
      <c r="C2" s="308"/>
      <c r="D2" s="308"/>
      <c r="E2" s="308"/>
      <c r="F2" s="308"/>
      <c r="G2" s="308"/>
      <c r="H2" s="308"/>
    </row>
    <row r="3" spans="1:8" ht="177" customHeight="1" x14ac:dyDescent="0.25">
      <c r="A3" s="309" t="s">
        <v>2</v>
      </c>
      <c r="B3" s="309"/>
      <c r="C3" s="309"/>
      <c r="D3" s="309"/>
      <c r="E3" s="309"/>
      <c r="F3" s="309"/>
      <c r="G3" s="309"/>
      <c r="H3" s="309"/>
    </row>
    <row r="4" spans="1:8" ht="24" customHeight="1" x14ac:dyDescent="0.25">
      <c r="A4" s="2"/>
      <c r="B4" s="2"/>
      <c r="C4" s="2"/>
      <c r="D4" s="2"/>
      <c r="E4" s="2"/>
      <c r="F4" s="2"/>
      <c r="G4" s="3"/>
      <c r="H4" s="3"/>
    </row>
    <row r="5" spans="1:8" ht="24" customHeight="1" x14ac:dyDescent="0.25">
      <c r="A5" s="310" t="s">
        <v>3</v>
      </c>
      <c r="B5" s="310"/>
      <c r="C5" s="310"/>
      <c r="D5" s="310"/>
      <c r="E5" s="310"/>
      <c r="F5" s="310"/>
      <c r="G5" s="310"/>
      <c r="H5" s="310"/>
    </row>
    <row r="6" spans="1:8" ht="40.5" customHeight="1" x14ac:dyDescent="0.25">
      <c r="A6" s="309" t="s">
        <v>4</v>
      </c>
      <c r="B6" s="309"/>
      <c r="C6" s="309"/>
      <c r="D6" s="309"/>
      <c r="E6" s="309"/>
      <c r="F6" s="309"/>
      <c r="G6" s="309"/>
      <c r="H6" s="309"/>
    </row>
    <row r="7" spans="1:8" ht="24" customHeight="1" x14ac:dyDescent="0.25">
      <c r="A7" s="2"/>
      <c r="B7" s="2"/>
      <c r="C7" s="2"/>
      <c r="D7" s="2"/>
      <c r="E7" s="2"/>
      <c r="F7" s="2"/>
      <c r="G7" s="3"/>
      <c r="H7" s="3"/>
    </row>
    <row r="8" spans="1:8" ht="24" customHeight="1" x14ac:dyDescent="0.25">
      <c r="A8" s="311" t="s">
        <v>5</v>
      </c>
      <c r="B8" s="311"/>
      <c r="C8" s="311"/>
      <c r="D8" s="311"/>
      <c r="E8" s="311"/>
      <c r="F8" s="311"/>
      <c r="G8" s="311"/>
      <c r="H8" s="311"/>
    </row>
    <row r="9" spans="1:8" ht="33.75" customHeight="1" x14ac:dyDescent="0.25">
      <c r="A9" s="309" t="s">
        <v>6</v>
      </c>
      <c r="B9" s="309"/>
      <c r="C9" s="309"/>
      <c r="D9" s="309"/>
      <c r="E9" s="309"/>
      <c r="F9" s="309"/>
      <c r="G9" s="309"/>
      <c r="H9" s="309"/>
    </row>
    <row r="11" spans="1:8" ht="24" customHeight="1" x14ac:dyDescent="0.25">
      <c r="A11" s="312" t="s">
        <v>5</v>
      </c>
      <c r="B11" s="312"/>
    </row>
    <row r="12" spans="1:8" ht="24" customHeight="1" x14ac:dyDescent="0.25">
      <c r="A12" s="5" t="s">
        <v>7</v>
      </c>
      <c r="B12" s="6">
        <v>2008.63</v>
      </c>
    </row>
    <row r="13" spans="1:8" ht="24" customHeight="1" x14ac:dyDescent="0.25">
      <c r="A13" s="7" t="s">
        <v>8</v>
      </c>
      <c r="B13" s="8"/>
    </row>
    <row r="15" spans="1:8" ht="24" customHeight="1" x14ac:dyDescent="0.25">
      <c r="A15" s="311" t="s">
        <v>9</v>
      </c>
      <c r="B15" s="311"/>
      <c r="C15" s="311"/>
      <c r="D15" s="311"/>
      <c r="E15" s="311"/>
      <c r="F15" s="311"/>
      <c r="G15" s="311"/>
      <c r="H15" s="311"/>
    </row>
    <row r="16" spans="1:8" ht="85.5" customHeight="1" x14ac:dyDescent="0.25">
      <c r="A16" s="309" t="s">
        <v>10</v>
      </c>
      <c r="B16" s="309"/>
      <c r="C16" s="309"/>
      <c r="D16" s="309"/>
      <c r="E16" s="309"/>
      <c r="F16" s="309"/>
      <c r="G16" s="309"/>
      <c r="H16" s="309"/>
    </row>
    <row r="17" spans="1:8" ht="24" customHeight="1" x14ac:dyDescent="0.25">
      <c r="A17" s="2"/>
      <c r="B17" s="2"/>
      <c r="C17" s="2"/>
      <c r="D17" s="2"/>
      <c r="E17" s="2"/>
      <c r="F17" s="2"/>
    </row>
    <row r="18" spans="1:8" ht="24" customHeight="1" x14ac:dyDescent="0.25">
      <c r="A18" s="312" t="s">
        <v>9</v>
      </c>
      <c r="B18" s="312"/>
      <c r="C18" s="312"/>
      <c r="D18" s="312"/>
    </row>
    <row r="19" spans="1:8" ht="24" customHeight="1" x14ac:dyDescent="0.25">
      <c r="A19" s="9" t="s">
        <v>11</v>
      </c>
      <c r="B19" s="10" t="s">
        <v>12</v>
      </c>
      <c r="C19" s="10" t="s">
        <v>13</v>
      </c>
      <c r="D19" s="11" t="s">
        <v>14</v>
      </c>
    </row>
    <row r="20" spans="1:8" ht="24" customHeight="1" x14ac:dyDescent="0.25">
      <c r="A20" s="12" t="s">
        <v>7</v>
      </c>
      <c r="B20" s="13">
        <f>B12</f>
        <v>2008.63</v>
      </c>
      <c r="C20" s="14"/>
      <c r="D20" s="15">
        <f>B20*C20</f>
        <v>0</v>
      </c>
      <c r="E20" s="3"/>
      <c r="G20" s="3"/>
      <c r="H20" s="3"/>
    </row>
    <row r="21" spans="1:8" ht="24" customHeight="1" x14ac:dyDescent="0.25">
      <c r="A21" s="7" t="s">
        <v>8</v>
      </c>
      <c r="B21" s="16">
        <f>B13</f>
        <v>0</v>
      </c>
      <c r="C21" s="17"/>
      <c r="D21" s="18">
        <f>B21*C21</f>
        <v>0</v>
      </c>
      <c r="E21" s="3"/>
      <c r="G21" s="3"/>
      <c r="H21" s="3"/>
    </row>
    <row r="23" spans="1:8" ht="24" customHeight="1" x14ac:dyDescent="0.25">
      <c r="A23" s="311" t="s">
        <v>15</v>
      </c>
      <c r="B23" s="311"/>
      <c r="C23" s="311"/>
      <c r="D23" s="311"/>
      <c r="E23" s="311"/>
      <c r="F23" s="311"/>
      <c r="G23" s="311"/>
      <c r="H23" s="311"/>
    </row>
    <row r="24" spans="1:8" ht="72" customHeight="1" x14ac:dyDescent="0.25">
      <c r="A24" s="309" t="s">
        <v>16</v>
      </c>
      <c r="B24" s="309"/>
      <c r="C24" s="309"/>
      <c r="D24" s="309"/>
      <c r="E24" s="309"/>
      <c r="F24" s="309"/>
      <c r="G24" s="309"/>
      <c r="H24" s="309"/>
    </row>
    <row r="25" spans="1:8" ht="24" customHeight="1" x14ac:dyDescent="0.25">
      <c r="A25" s="3"/>
      <c r="B25" s="3"/>
      <c r="C25" s="3"/>
      <c r="D25" s="3"/>
      <c r="F25" s="3"/>
    </row>
    <row r="26" spans="1:8" ht="24" customHeight="1" x14ac:dyDescent="0.25">
      <c r="A26" s="312" t="s">
        <v>17</v>
      </c>
      <c r="B26" s="312"/>
      <c r="C26" s="312"/>
      <c r="D26" s="312"/>
    </row>
    <row r="27" spans="1:8" ht="24" customHeight="1" x14ac:dyDescent="0.25">
      <c r="A27" s="9" t="s">
        <v>11</v>
      </c>
      <c r="B27" s="10" t="s">
        <v>12</v>
      </c>
      <c r="C27" s="10" t="s">
        <v>13</v>
      </c>
      <c r="D27" s="11" t="s">
        <v>18</v>
      </c>
    </row>
    <row r="28" spans="1:8" ht="24" customHeight="1" x14ac:dyDescent="0.25">
      <c r="A28" s="12" t="s">
        <v>19</v>
      </c>
      <c r="B28" s="13"/>
      <c r="C28" s="19"/>
      <c r="D28" s="20">
        <f t="shared" ref="D28:D33" si="0">B28*C28</f>
        <v>0</v>
      </c>
    </row>
    <row r="29" spans="1:8" ht="24" customHeight="1" x14ac:dyDescent="0.25">
      <c r="A29" s="21" t="s">
        <v>20</v>
      </c>
      <c r="B29" s="22"/>
      <c r="C29" s="23">
        <f>C28</f>
        <v>0</v>
      </c>
      <c r="D29" s="24">
        <f t="shared" si="0"/>
        <v>0</v>
      </c>
    </row>
    <row r="30" spans="1:8" ht="24" customHeight="1" x14ac:dyDescent="0.25">
      <c r="A30" s="25" t="s">
        <v>21</v>
      </c>
      <c r="B30" s="26"/>
      <c r="C30" s="27">
        <f>C29</f>
        <v>0</v>
      </c>
      <c r="D30" s="28">
        <f t="shared" si="0"/>
        <v>0</v>
      </c>
    </row>
    <row r="31" spans="1:8" ht="24" customHeight="1" x14ac:dyDescent="0.25">
      <c r="A31" s="12" t="s">
        <v>22</v>
      </c>
      <c r="B31" s="13"/>
      <c r="C31" s="19">
        <f>C30</f>
        <v>0</v>
      </c>
      <c r="D31" s="20">
        <f t="shared" si="0"/>
        <v>0</v>
      </c>
    </row>
    <row r="32" spans="1:8" ht="24" customHeight="1" x14ac:dyDescent="0.25">
      <c r="A32" s="21" t="s">
        <v>23</v>
      </c>
      <c r="B32" s="22"/>
      <c r="C32" s="23">
        <f>C31</f>
        <v>0</v>
      </c>
      <c r="D32" s="24">
        <f t="shared" si="0"/>
        <v>0</v>
      </c>
    </row>
    <row r="33" spans="1:8" ht="24" customHeight="1" x14ac:dyDescent="0.25">
      <c r="A33" s="7" t="s">
        <v>24</v>
      </c>
      <c r="B33" s="16"/>
      <c r="C33" s="29">
        <f>C32</f>
        <v>0</v>
      </c>
      <c r="D33" s="8">
        <f t="shared" si="0"/>
        <v>0</v>
      </c>
      <c r="G33" s="3"/>
      <c r="H33" s="3"/>
    </row>
    <row r="36" spans="1:8" ht="24" customHeight="1" x14ac:dyDescent="0.25">
      <c r="A36" s="311" t="s">
        <v>25</v>
      </c>
      <c r="B36" s="311"/>
      <c r="C36" s="311"/>
      <c r="D36" s="311"/>
      <c r="E36" s="311"/>
      <c r="F36" s="311"/>
      <c r="G36" s="311"/>
      <c r="H36" s="311"/>
    </row>
    <row r="37" spans="1:8" ht="69.75" customHeight="1" x14ac:dyDescent="0.25">
      <c r="A37" s="309" t="s">
        <v>26</v>
      </c>
      <c r="B37" s="309"/>
      <c r="C37" s="309"/>
      <c r="D37" s="309"/>
      <c r="E37" s="309"/>
      <c r="F37" s="309"/>
      <c r="G37" s="309"/>
      <c r="H37" s="309"/>
    </row>
    <row r="39" spans="1:8" ht="24" customHeight="1" x14ac:dyDescent="0.25">
      <c r="A39" s="312" t="s">
        <v>25</v>
      </c>
      <c r="B39" s="312"/>
      <c r="C39" s="312"/>
      <c r="D39" s="312"/>
      <c r="E39" s="312"/>
    </row>
    <row r="40" spans="1:8" ht="24" customHeight="1" x14ac:dyDescent="0.25">
      <c r="A40" s="9" t="s">
        <v>11</v>
      </c>
      <c r="B40" s="10" t="s">
        <v>27</v>
      </c>
      <c r="C40" s="10" t="s">
        <v>28</v>
      </c>
      <c r="D40" s="10" t="s">
        <v>13</v>
      </c>
      <c r="E40" s="11" t="s">
        <v>18</v>
      </c>
    </row>
    <row r="41" spans="1:8" ht="24" customHeight="1" x14ac:dyDescent="0.25">
      <c r="A41" s="12" t="s">
        <v>20</v>
      </c>
      <c r="B41" s="13">
        <f>B12+D29</f>
        <v>2008.63</v>
      </c>
      <c r="C41" s="14">
        <f>7/12</f>
        <v>0.58333333333333337</v>
      </c>
      <c r="D41" s="19"/>
      <c r="E41" s="20">
        <f>B41*C41*D41</f>
        <v>0</v>
      </c>
    </row>
    <row r="42" spans="1:8" ht="24" customHeight="1" x14ac:dyDescent="0.25">
      <c r="A42" s="7" t="s">
        <v>23</v>
      </c>
      <c r="B42" s="16">
        <f>B13+D32</f>
        <v>0</v>
      </c>
      <c r="C42" s="17">
        <f>7/12</f>
        <v>0.58333333333333337</v>
      </c>
      <c r="D42" s="29">
        <f>D41</f>
        <v>0</v>
      </c>
      <c r="E42" s="8">
        <f>B42*C42*D42</f>
        <v>0</v>
      </c>
    </row>
    <row r="43" spans="1:8" ht="24" customHeight="1" x14ac:dyDescent="0.25">
      <c r="A43" s="312" t="s">
        <v>29</v>
      </c>
      <c r="B43" s="312"/>
      <c r="C43" s="312"/>
      <c r="D43" s="312"/>
      <c r="E43" s="312"/>
    </row>
    <row r="44" spans="1:8" ht="24" customHeight="1" x14ac:dyDescent="0.25">
      <c r="A44" s="9" t="s">
        <v>11</v>
      </c>
      <c r="B44" s="10" t="s">
        <v>27</v>
      </c>
      <c r="C44" s="10" t="s">
        <v>28</v>
      </c>
      <c r="D44" s="10" t="s">
        <v>13</v>
      </c>
      <c r="E44" s="11" t="s">
        <v>18</v>
      </c>
    </row>
    <row r="45" spans="1:8" ht="24" customHeight="1" x14ac:dyDescent="0.25">
      <c r="A45" s="12" t="s">
        <v>20</v>
      </c>
      <c r="B45" s="13"/>
      <c r="C45" s="14">
        <f>1/12</f>
        <v>8.3333333333333329E-2</v>
      </c>
      <c r="D45" s="19">
        <f>1+D41</f>
        <v>1</v>
      </c>
      <c r="E45" s="20">
        <f>B45*C45*D45</f>
        <v>0</v>
      </c>
    </row>
    <row r="46" spans="1:8" ht="24" customHeight="1" x14ac:dyDescent="0.25">
      <c r="A46" s="7" t="s">
        <v>23</v>
      </c>
      <c r="B46" s="16">
        <f>B13+D32</f>
        <v>0</v>
      </c>
      <c r="C46" s="17">
        <f>1/12</f>
        <v>8.3333333333333329E-2</v>
      </c>
      <c r="D46" s="29">
        <f>1+D42</f>
        <v>1</v>
      </c>
      <c r="E46" s="8">
        <f>B46*C46*D46</f>
        <v>0</v>
      </c>
    </row>
    <row r="47" spans="1:8" ht="33.75" customHeight="1" x14ac:dyDescent="0.25"/>
    <row r="48" spans="1:8" ht="24" customHeight="1" x14ac:dyDescent="0.25">
      <c r="A48" s="312" t="s">
        <v>30</v>
      </c>
      <c r="B48" s="312"/>
      <c r="C48" s="312"/>
      <c r="D48" s="312"/>
    </row>
    <row r="49" spans="1:8" ht="30.75" customHeight="1" x14ac:dyDescent="0.25">
      <c r="A49" s="9" t="s">
        <v>11</v>
      </c>
      <c r="B49" s="10" t="s">
        <v>31</v>
      </c>
      <c r="C49" s="30" t="s">
        <v>32</v>
      </c>
      <c r="D49" s="11" t="s">
        <v>18</v>
      </c>
    </row>
    <row r="50" spans="1:8" ht="24" customHeight="1" x14ac:dyDescent="0.25">
      <c r="A50" s="12" t="s">
        <v>20</v>
      </c>
      <c r="B50" s="13">
        <f>E41</f>
        <v>0</v>
      </c>
      <c r="C50" s="13">
        <v>0</v>
      </c>
      <c r="D50" s="20">
        <f>SUM(B50:C50)</f>
        <v>0</v>
      </c>
    </row>
    <row r="51" spans="1:8" ht="24" customHeight="1" x14ac:dyDescent="0.25">
      <c r="A51" s="7" t="s">
        <v>23</v>
      </c>
      <c r="B51" s="16">
        <f>E42</f>
        <v>0</v>
      </c>
      <c r="C51" s="16">
        <f>E46</f>
        <v>0</v>
      </c>
      <c r="D51" s="8">
        <f>SUM(B51:C51)</f>
        <v>0</v>
      </c>
      <c r="G51" s="3"/>
      <c r="H51" s="3"/>
    </row>
    <row r="53" spans="1:8" ht="24" customHeight="1" x14ac:dyDescent="0.25">
      <c r="A53" s="313" t="s">
        <v>33</v>
      </c>
      <c r="B53" s="313"/>
      <c r="C53" s="313"/>
      <c r="D53" s="313"/>
      <c r="E53" s="3"/>
      <c r="F53" s="3"/>
    </row>
    <row r="54" spans="1:8" ht="48" customHeight="1" x14ac:dyDescent="0.25">
      <c r="A54" s="309" t="s">
        <v>34</v>
      </c>
      <c r="B54" s="309"/>
      <c r="C54" s="309"/>
      <c r="D54" s="309"/>
      <c r="E54" s="309"/>
      <c r="F54" s="309"/>
    </row>
    <row r="56" spans="1:8" ht="24" customHeight="1" x14ac:dyDescent="0.25">
      <c r="A56" s="312" t="s">
        <v>33</v>
      </c>
      <c r="B56" s="312"/>
      <c r="C56" s="312"/>
      <c r="D56" s="312"/>
    </row>
    <row r="57" spans="1:8" ht="24" customHeight="1" x14ac:dyDescent="0.25">
      <c r="A57" s="9" t="s">
        <v>11</v>
      </c>
      <c r="B57" s="10" t="s">
        <v>12</v>
      </c>
      <c r="C57" s="10" t="s">
        <v>13</v>
      </c>
      <c r="D57" s="11" t="s">
        <v>18</v>
      </c>
    </row>
    <row r="58" spans="1:8" ht="24" customHeight="1" x14ac:dyDescent="0.25">
      <c r="A58" s="12" t="s">
        <v>19</v>
      </c>
      <c r="B58" s="31"/>
      <c r="C58" s="31"/>
      <c r="D58" s="32"/>
    </row>
    <row r="59" spans="1:8" ht="24" customHeight="1" x14ac:dyDescent="0.25">
      <c r="A59" s="21" t="s">
        <v>20</v>
      </c>
      <c r="B59" s="33"/>
      <c r="C59" s="33"/>
      <c r="D59" s="34"/>
    </row>
    <row r="60" spans="1:8" ht="24" customHeight="1" x14ac:dyDescent="0.25">
      <c r="A60" s="7" t="s">
        <v>35</v>
      </c>
      <c r="B60" s="35"/>
      <c r="C60" s="35"/>
      <c r="D60" s="36"/>
    </row>
    <row r="61" spans="1:8" ht="24" customHeight="1" x14ac:dyDescent="0.25">
      <c r="A61" s="12" t="s">
        <v>22</v>
      </c>
      <c r="B61" s="31"/>
      <c r="C61" s="31"/>
      <c r="D61" s="32"/>
    </row>
    <row r="62" spans="1:8" ht="24" customHeight="1" x14ac:dyDescent="0.25">
      <c r="A62" s="21" t="s">
        <v>23</v>
      </c>
      <c r="B62" s="33"/>
      <c r="C62" s="33"/>
      <c r="D62" s="34"/>
    </row>
    <row r="63" spans="1:8" ht="24" customHeight="1" x14ac:dyDescent="0.25">
      <c r="A63" s="7" t="s">
        <v>24</v>
      </c>
      <c r="B63" s="35"/>
      <c r="C63" s="35"/>
      <c r="D63" s="36"/>
      <c r="H63" s="3"/>
    </row>
    <row r="65" spans="1:8" ht="24" customHeight="1" x14ac:dyDescent="0.25">
      <c r="A65" s="310" t="s">
        <v>3</v>
      </c>
      <c r="B65" s="310"/>
      <c r="C65" s="310"/>
      <c r="D65" s="310"/>
      <c r="E65" s="310"/>
      <c r="F65" s="310"/>
      <c r="G65" s="310"/>
      <c r="H65" s="310"/>
    </row>
    <row r="66" spans="1:8" ht="42" customHeight="1" x14ac:dyDescent="0.25">
      <c r="A66" s="314" t="s">
        <v>36</v>
      </c>
      <c r="B66" s="314"/>
      <c r="C66" s="314"/>
      <c r="D66" s="314"/>
      <c r="E66" s="314"/>
      <c r="F66" s="314"/>
      <c r="G66" s="314"/>
      <c r="H66" s="314"/>
    </row>
    <row r="67" spans="1:8" ht="30.75" customHeight="1" x14ac:dyDescent="0.25"/>
    <row r="68" spans="1:8" ht="24" customHeight="1" x14ac:dyDescent="0.25">
      <c r="A68" s="312" t="s">
        <v>3</v>
      </c>
      <c r="B68" s="312"/>
      <c r="C68" s="312"/>
      <c r="D68" s="312"/>
      <c r="E68" s="312"/>
      <c r="F68" s="312"/>
      <c r="G68" s="312"/>
    </row>
    <row r="69" spans="1:8" ht="47.25" x14ac:dyDescent="0.25">
      <c r="A69" s="37" t="s">
        <v>11</v>
      </c>
      <c r="B69" s="38" t="s">
        <v>37</v>
      </c>
      <c r="C69" s="39" t="s">
        <v>38</v>
      </c>
      <c r="D69" s="39" t="s">
        <v>39</v>
      </c>
      <c r="E69" s="38" t="s">
        <v>31</v>
      </c>
      <c r="F69" s="38" t="s">
        <v>40</v>
      </c>
      <c r="G69" s="40" t="s">
        <v>41</v>
      </c>
    </row>
    <row r="70" spans="1:8" ht="24" customHeight="1" x14ac:dyDescent="0.25">
      <c r="A70" s="41" t="s">
        <v>42</v>
      </c>
      <c r="B70" s="42">
        <f>B12</f>
        <v>2008.63</v>
      </c>
      <c r="C70" s="42">
        <f>D20</f>
        <v>0</v>
      </c>
      <c r="D70" s="42">
        <f>D30</f>
        <v>0</v>
      </c>
      <c r="E70" s="41"/>
      <c r="F70" s="43">
        <f>D60</f>
        <v>0</v>
      </c>
      <c r="G70" s="44">
        <f>SUM(B70:F70)</f>
        <v>2008.63</v>
      </c>
    </row>
    <row r="72" spans="1:8" ht="24" customHeight="1" x14ac:dyDescent="0.25">
      <c r="A72" s="310" t="s">
        <v>43</v>
      </c>
      <c r="B72" s="310"/>
      <c r="C72" s="310"/>
      <c r="D72" s="310"/>
      <c r="E72" s="310"/>
      <c r="F72" s="310"/>
      <c r="G72" s="310"/>
      <c r="H72" s="310"/>
    </row>
    <row r="74" spans="1:8" ht="24" customHeight="1" x14ac:dyDescent="0.25">
      <c r="A74" s="311" t="s">
        <v>44</v>
      </c>
      <c r="B74" s="311"/>
      <c r="C74" s="311"/>
      <c r="D74" s="311"/>
      <c r="E74" s="311"/>
      <c r="F74" s="311"/>
      <c r="G74" s="311"/>
      <c r="H74" s="311"/>
    </row>
    <row r="76" spans="1:8" ht="31.5" customHeight="1" x14ac:dyDescent="0.25">
      <c r="A76" s="315" t="s">
        <v>45</v>
      </c>
      <c r="B76" s="315"/>
      <c r="C76" s="315"/>
      <c r="D76" s="315"/>
      <c r="E76" s="46"/>
    </row>
    <row r="77" spans="1:8" ht="31.5" x14ac:dyDescent="0.25">
      <c r="A77" s="47" t="s">
        <v>11</v>
      </c>
      <c r="B77" s="48" t="s">
        <v>12</v>
      </c>
      <c r="C77" s="49" t="s">
        <v>46</v>
      </c>
      <c r="D77" s="50" t="s">
        <v>18</v>
      </c>
    </row>
    <row r="78" spans="1:8" ht="24" customHeight="1" x14ac:dyDescent="0.25">
      <c r="A78" s="41" t="s">
        <v>42</v>
      </c>
      <c r="B78" s="42">
        <f>G70</f>
        <v>2008.63</v>
      </c>
      <c r="C78" s="51">
        <f>1/12</f>
        <v>8.3333333333333329E-2</v>
      </c>
      <c r="D78" s="44">
        <f>B78*C78</f>
        <v>167.38583333333332</v>
      </c>
    </row>
    <row r="80" spans="1:8" ht="36.75" customHeight="1" x14ac:dyDescent="0.25">
      <c r="A80" s="315" t="s">
        <v>47</v>
      </c>
      <c r="B80" s="315"/>
      <c r="C80" s="315"/>
      <c r="D80" s="315"/>
    </row>
    <row r="81" spans="1:8" ht="30.75" customHeight="1" x14ac:dyDescent="0.25">
      <c r="A81" s="47" t="s">
        <v>11</v>
      </c>
      <c r="B81" s="48" t="s">
        <v>12</v>
      </c>
      <c r="C81" s="49" t="s">
        <v>46</v>
      </c>
      <c r="D81" s="50" t="s">
        <v>18</v>
      </c>
    </row>
    <row r="82" spans="1:8" ht="24" customHeight="1" x14ac:dyDescent="0.25">
      <c r="A82" s="41" t="s">
        <v>42</v>
      </c>
      <c r="B82" s="42">
        <f>G70</f>
        <v>2008.63</v>
      </c>
      <c r="C82" s="51">
        <f>1/12</f>
        <v>8.3333333333333329E-2</v>
      </c>
      <c r="D82" s="44">
        <f>B82*C82</f>
        <v>167.38583333333332</v>
      </c>
    </row>
    <row r="83" spans="1:8" ht="38.25" customHeight="1" x14ac:dyDescent="0.25"/>
    <row r="84" spans="1:8" ht="24" customHeight="1" x14ac:dyDescent="0.25">
      <c r="A84" s="315" t="s">
        <v>48</v>
      </c>
      <c r="B84" s="315"/>
      <c r="C84" s="315"/>
      <c r="D84" s="315"/>
      <c r="E84" s="315"/>
    </row>
    <row r="85" spans="1:8" ht="30" customHeight="1" x14ac:dyDescent="0.25">
      <c r="A85" s="47" t="s">
        <v>11</v>
      </c>
      <c r="B85" s="48" t="s">
        <v>12</v>
      </c>
      <c r="C85" s="49" t="s">
        <v>49</v>
      </c>
      <c r="D85" s="49" t="s">
        <v>46</v>
      </c>
      <c r="E85" s="50" t="s">
        <v>18</v>
      </c>
    </row>
    <row r="86" spans="1:8" ht="24" customHeight="1" x14ac:dyDescent="0.25">
      <c r="A86" s="41" t="s">
        <v>42</v>
      </c>
      <c r="B86" s="42">
        <f>G70</f>
        <v>2008.63</v>
      </c>
      <c r="C86" s="52">
        <f>1/3</f>
        <v>0.33333333333333331</v>
      </c>
      <c r="D86" s="51">
        <f>1/12</f>
        <v>8.3333333333333329E-2</v>
      </c>
      <c r="E86" s="44">
        <f>B86*C86*D86</f>
        <v>55.79527777777777</v>
      </c>
    </row>
    <row r="88" spans="1:8" ht="24" customHeight="1" x14ac:dyDescent="0.25">
      <c r="A88" s="312" t="s">
        <v>44</v>
      </c>
      <c r="B88" s="312"/>
      <c r="C88" s="312"/>
      <c r="D88" s="312"/>
      <c r="E88" s="312"/>
    </row>
    <row r="89" spans="1:8" ht="24" customHeight="1" x14ac:dyDescent="0.25">
      <c r="A89" s="47" t="s">
        <v>11</v>
      </c>
      <c r="B89" s="48" t="s">
        <v>50</v>
      </c>
      <c r="C89" s="48" t="s">
        <v>51</v>
      </c>
      <c r="D89" s="48" t="s">
        <v>52</v>
      </c>
      <c r="E89" s="50" t="s">
        <v>41</v>
      </c>
    </row>
    <row r="90" spans="1:8" ht="24" customHeight="1" x14ac:dyDescent="0.25">
      <c r="A90" s="41" t="s">
        <v>42</v>
      </c>
      <c r="B90" s="42">
        <f>D78</f>
        <v>167.38583333333332</v>
      </c>
      <c r="C90" s="42">
        <f>D82</f>
        <v>167.38583333333332</v>
      </c>
      <c r="D90" s="42">
        <f>E86</f>
        <v>55.79527777777777</v>
      </c>
      <c r="E90" s="44">
        <f>SUM(B90:D90)</f>
        <v>390.5669444444444</v>
      </c>
    </row>
    <row r="92" spans="1:8" ht="24" customHeight="1" x14ac:dyDescent="0.25">
      <c r="A92" s="311" t="s">
        <v>53</v>
      </c>
      <c r="B92" s="311"/>
      <c r="C92" s="311"/>
      <c r="D92" s="311"/>
      <c r="E92" s="311"/>
      <c r="F92" s="311"/>
      <c r="G92" s="311"/>
      <c r="H92" s="311"/>
    </row>
    <row r="93" spans="1:8" ht="51.75" customHeight="1" x14ac:dyDescent="0.25">
      <c r="A93" s="309" t="s">
        <v>54</v>
      </c>
      <c r="B93" s="309"/>
      <c r="C93" s="309"/>
      <c r="D93" s="309"/>
      <c r="E93" s="309"/>
      <c r="F93" s="309"/>
      <c r="G93" s="309"/>
      <c r="H93" s="309"/>
    </row>
    <row r="95" spans="1:8" ht="24" customHeight="1" x14ac:dyDescent="0.25">
      <c r="A95" s="312" t="s">
        <v>55</v>
      </c>
      <c r="B95" s="312"/>
    </row>
    <row r="96" spans="1:8" ht="24" customHeight="1" x14ac:dyDescent="0.25">
      <c r="A96" s="47" t="s">
        <v>56</v>
      </c>
      <c r="B96" s="50" t="s">
        <v>13</v>
      </c>
    </row>
    <row r="97" spans="1:4" ht="24" customHeight="1" x14ac:dyDescent="0.25">
      <c r="A97" s="12" t="s">
        <v>57</v>
      </c>
      <c r="B97" s="53">
        <v>0.2</v>
      </c>
    </row>
    <row r="98" spans="1:4" ht="24" customHeight="1" x14ac:dyDescent="0.25">
      <c r="A98" s="21" t="s">
        <v>58</v>
      </c>
      <c r="B98" s="54">
        <v>2.5000000000000001E-2</v>
      </c>
    </row>
    <row r="99" spans="1:4" ht="24" customHeight="1" x14ac:dyDescent="0.25">
      <c r="A99" s="21" t="s">
        <v>59</v>
      </c>
      <c r="B99" s="55">
        <v>1.4999999999999999E-2</v>
      </c>
      <c r="C99" s="1" t="s">
        <v>60</v>
      </c>
    </row>
    <row r="100" spans="1:4" ht="24" customHeight="1" x14ac:dyDescent="0.25">
      <c r="A100" s="21" t="s">
        <v>61</v>
      </c>
      <c r="B100" s="54">
        <v>1.4999999999999999E-2</v>
      </c>
    </row>
    <row r="101" spans="1:4" ht="24" customHeight="1" x14ac:dyDescent="0.25">
      <c r="A101" s="21" t="s">
        <v>62</v>
      </c>
      <c r="B101" s="54">
        <v>0.01</v>
      </c>
    </row>
    <row r="102" spans="1:4" ht="24" customHeight="1" x14ac:dyDescent="0.25">
      <c r="A102" s="21" t="s">
        <v>63</v>
      </c>
      <c r="B102" s="54">
        <v>6.0000000000000001E-3</v>
      </c>
    </row>
    <row r="103" spans="1:4" ht="24" customHeight="1" x14ac:dyDescent="0.25">
      <c r="A103" s="21" t="s">
        <v>64</v>
      </c>
      <c r="B103" s="54">
        <v>2E-3</v>
      </c>
    </row>
    <row r="104" spans="1:4" ht="24" customHeight="1" x14ac:dyDescent="0.25">
      <c r="A104" s="7" t="s">
        <v>65</v>
      </c>
      <c r="B104" s="56">
        <v>0.08</v>
      </c>
    </row>
    <row r="105" spans="1:4" ht="24" customHeight="1" x14ac:dyDescent="0.25">
      <c r="A105" s="57" t="s">
        <v>66</v>
      </c>
      <c r="B105" s="58">
        <f>SUM(B97:B104)</f>
        <v>0.35300000000000004</v>
      </c>
    </row>
    <row r="107" spans="1:4" ht="24" customHeight="1" x14ac:dyDescent="0.25">
      <c r="A107" s="312" t="s">
        <v>67</v>
      </c>
      <c r="B107" s="312"/>
      <c r="C107" s="312"/>
      <c r="D107" s="312"/>
    </row>
    <row r="108" spans="1:4" ht="24" customHeight="1" x14ac:dyDescent="0.25">
      <c r="A108" s="47" t="s">
        <v>11</v>
      </c>
      <c r="B108" s="48" t="s">
        <v>12</v>
      </c>
      <c r="C108" s="48" t="s">
        <v>13</v>
      </c>
      <c r="D108" s="50" t="s">
        <v>18</v>
      </c>
    </row>
    <row r="109" spans="1:4" ht="24" customHeight="1" x14ac:dyDescent="0.25">
      <c r="A109" s="41" t="s">
        <v>42</v>
      </c>
      <c r="B109" s="42">
        <f>G70+E90</f>
        <v>2399.1969444444444</v>
      </c>
      <c r="C109" s="59">
        <f>SUM($B$97:$B$103)</f>
        <v>0.27300000000000002</v>
      </c>
      <c r="D109" s="44">
        <f>B109*C109</f>
        <v>654.98076583333341</v>
      </c>
    </row>
    <row r="111" spans="1:4" ht="24" customHeight="1" x14ac:dyDescent="0.25">
      <c r="A111" s="312" t="s">
        <v>68</v>
      </c>
      <c r="B111" s="312"/>
      <c r="C111" s="312"/>
      <c r="D111" s="312"/>
    </row>
    <row r="112" spans="1:4" ht="24" customHeight="1" x14ac:dyDescent="0.25">
      <c r="A112" s="47" t="s">
        <v>11</v>
      </c>
      <c r="B112" s="48" t="s">
        <v>12</v>
      </c>
      <c r="C112" s="48" t="s">
        <v>13</v>
      </c>
      <c r="D112" s="50" t="s">
        <v>18</v>
      </c>
    </row>
    <row r="113" spans="1:8" ht="24" customHeight="1" x14ac:dyDescent="0.25">
      <c r="A113" s="41" t="s">
        <v>42</v>
      </c>
      <c r="B113" s="42">
        <f>G70+E90</f>
        <v>2399.1969444444444</v>
      </c>
      <c r="C113" s="51">
        <f>$B$104</f>
        <v>0.08</v>
      </c>
      <c r="D113" s="44">
        <f>B113*C113</f>
        <v>191.93575555555555</v>
      </c>
    </row>
    <row r="115" spans="1:8" ht="24" customHeight="1" x14ac:dyDescent="0.25">
      <c r="A115" s="312" t="s">
        <v>53</v>
      </c>
      <c r="B115" s="312"/>
      <c r="C115" s="312"/>
      <c r="D115" s="312"/>
    </row>
    <row r="116" spans="1:8" ht="24" customHeight="1" x14ac:dyDescent="0.25">
      <c r="A116" s="47" t="s">
        <v>11</v>
      </c>
      <c r="B116" s="48" t="s">
        <v>69</v>
      </c>
      <c r="C116" s="48" t="s">
        <v>65</v>
      </c>
      <c r="D116" s="50" t="s">
        <v>41</v>
      </c>
    </row>
    <row r="117" spans="1:8" ht="24" customHeight="1" x14ac:dyDescent="0.25">
      <c r="A117" s="41" t="s">
        <v>42</v>
      </c>
      <c r="B117" s="42">
        <f>D109</f>
        <v>654.98076583333341</v>
      </c>
      <c r="C117" s="42">
        <f>D113</f>
        <v>191.93575555555555</v>
      </c>
      <c r="D117" s="44">
        <f>B117+C117</f>
        <v>846.9165213888889</v>
      </c>
    </row>
    <row r="119" spans="1:8" ht="24" customHeight="1" x14ac:dyDescent="0.25">
      <c r="A119" s="311" t="s">
        <v>70</v>
      </c>
      <c r="B119" s="311"/>
      <c r="C119" s="311"/>
      <c r="D119" s="311"/>
      <c r="E119" s="311"/>
      <c r="F119" s="311"/>
      <c r="G119" s="311"/>
      <c r="H119" s="311"/>
    </row>
    <row r="120" spans="1:8" ht="72.75" customHeight="1" x14ac:dyDescent="0.25">
      <c r="A120" s="309" t="s">
        <v>71</v>
      </c>
      <c r="B120" s="309"/>
      <c r="C120" s="309"/>
      <c r="D120" s="309"/>
      <c r="E120" s="309"/>
      <c r="F120" s="309"/>
      <c r="G120" s="309"/>
      <c r="H120" s="309"/>
    </row>
    <row r="122" spans="1:8" ht="24" customHeight="1" x14ac:dyDescent="0.25">
      <c r="A122" s="313" t="s">
        <v>72</v>
      </c>
      <c r="B122" s="313"/>
      <c r="C122" s="313"/>
      <c r="D122" s="313"/>
      <c r="E122" s="313"/>
      <c r="F122" s="313"/>
      <c r="G122" s="3"/>
    </row>
    <row r="123" spans="1:8" ht="36" customHeight="1" x14ac:dyDescent="0.25"/>
    <row r="124" spans="1:8" ht="24" customHeight="1" x14ac:dyDescent="0.25">
      <c r="A124" s="312" t="s">
        <v>73</v>
      </c>
      <c r="B124" s="312"/>
      <c r="C124" s="312"/>
      <c r="D124" s="312"/>
      <c r="E124" s="312"/>
    </row>
    <row r="125" spans="1:8" ht="31.5" x14ac:dyDescent="0.25">
      <c r="A125" s="47" t="s">
        <v>11</v>
      </c>
      <c r="B125" s="48" t="s">
        <v>74</v>
      </c>
      <c r="C125" s="48" t="s">
        <v>75</v>
      </c>
      <c r="D125" s="49" t="s">
        <v>76</v>
      </c>
      <c r="E125" s="50" t="s">
        <v>77</v>
      </c>
    </row>
    <row r="126" spans="1:8" ht="24" customHeight="1" x14ac:dyDescent="0.25">
      <c r="A126" s="41" t="s">
        <v>42</v>
      </c>
      <c r="B126" s="42">
        <v>3.7</v>
      </c>
      <c r="C126" s="60">
        <v>2</v>
      </c>
      <c r="D126" s="60">
        <v>22</v>
      </c>
      <c r="E126" s="44">
        <f>B126*C126*D126</f>
        <v>162.80000000000001</v>
      </c>
    </row>
    <row r="128" spans="1:8" ht="24" customHeight="1" x14ac:dyDescent="0.25">
      <c r="A128" s="312" t="s">
        <v>78</v>
      </c>
      <c r="B128" s="312"/>
      <c r="C128" s="312"/>
      <c r="D128" s="312"/>
      <c r="E128" s="312"/>
    </row>
    <row r="129" spans="1:14" ht="24" customHeight="1" x14ac:dyDescent="0.25">
      <c r="A129" s="47" t="s">
        <v>11</v>
      </c>
      <c r="B129" s="48" t="s">
        <v>12</v>
      </c>
      <c r="C129" s="48" t="s">
        <v>79</v>
      </c>
      <c r="D129" s="48" t="s">
        <v>13</v>
      </c>
      <c r="E129" s="50" t="s">
        <v>80</v>
      </c>
    </row>
    <row r="130" spans="1:14" ht="24" customHeight="1" x14ac:dyDescent="0.25">
      <c r="A130" s="41" t="s">
        <v>42</v>
      </c>
      <c r="B130" s="42">
        <f>B12</f>
        <v>2008.63</v>
      </c>
      <c r="C130" s="61">
        <v>1</v>
      </c>
      <c r="D130" s="61">
        <v>0.06</v>
      </c>
      <c r="E130" s="44">
        <f>B130*C130*D130</f>
        <v>120.51780000000001</v>
      </c>
    </row>
    <row r="132" spans="1:14" ht="24" customHeight="1" x14ac:dyDescent="0.25">
      <c r="A132" s="312" t="s">
        <v>81</v>
      </c>
      <c r="B132" s="312"/>
      <c r="C132" s="312"/>
      <c r="D132" s="312"/>
    </row>
    <row r="133" spans="1:14" ht="24" customHeight="1" x14ac:dyDescent="0.25">
      <c r="A133" s="47" t="s">
        <v>11</v>
      </c>
      <c r="B133" s="48" t="s">
        <v>77</v>
      </c>
      <c r="C133" s="48" t="s">
        <v>82</v>
      </c>
      <c r="D133" s="50" t="s">
        <v>83</v>
      </c>
    </row>
    <row r="134" spans="1:14" ht="24" customHeight="1" x14ac:dyDescent="0.25">
      <c r="A134" s="41" t="s">
        <v>42</v>
      </c>
      <c r="B134" s="42">
        <f>E126</f>
        <v>162.80000000000001</v>
      </c>
      <c r="C134" s="42">
        <f>E130</f>
        <v>120.51780000000001</v>
      </c>
      <c r="D134" s="44">
        <f>B134-C134</f>
        <v>42.282200000000003</v>
      </c>
    </row>
    <row r="136" spans="1:14" ht="24" customHeight="1" x14ac:dyDescent="0.25">
      <c r="A136" s="313" t="s">
        <v>84</v>
      </c>
      <c r="B136" s="313"/>
      <c r="C136" s="313"/>
      <c r="D136" s="313"/>
      <c r="E136" s="313"/>
      <c r="F136" s="313"/>
      <c r="G136" s="3"/>
    </row>
    <row r="137" spans="1:14" ht="31.5" customHeight="1" x14ac:dyDescent="0.25"/>
    <row r="138" spans="1:14" ht="24" customHeight="1" x14ac:dyDescent="0.25">
      <c r="A138" s="312" t="s">
        <v>84</v>
      </c>
      <c r="B138" s="312"/>
      <c r="C138" s="312"/>
      <c r="D138" s="312"/>
    </row>
    <row r="139" spans="1:14" ht="27" customHeight="1" x14ac:dyDescent="0.25">
      <c r="A139" s="9" t="s">
        <v>11</v>
      </c>
      <c r="B139" s="10" t="s">
        <v>85</v>
      </c>
      <c r="C139" s="30" t="s">
        <v>76</v>
      </c>
      <c r="D139" s="11" t="s">
        <v>18</v>
      </c>
    </row>
    <row r="140" spans="1:14" ht="24" customHeight="1" x14ac:dyDescent="0.25">
      <c r="A140" s="7" t="s">
        <v>42</v>
      </c>
      <c r="B140" s="16">
        <v>22.5</v>
      </c>
      <c r="C140" s="62">
        <f>D126</f>
        <v>22</v>
      </c>
      <c r="D140" s="8">
        <f>B140*C140</f>
        <v>495</v>
      </c>
    </row>
    <row r="142" spans="1:14" ht="24" customHeight="1" x14ac:dyDescent="0.25">
      <c r="A142" s="312" t="s">
        <v>86</v>
      </c>
      <c r="B142" s="312"/>
      <c r="C142" s="312"/>
      <c r="D142" s="312"/>
    </row>
    <row r="143" spans="1:14" ht="24" customHeight="1" x14ac:dyDescent="0.25">
      <c r="A143" s="47" t="s">
        <v>11</v>
      </c>
      <c r="B143" s="48" t="s">
        <v>12</v>
      </c>
      <c r="C143" s="48" t="s">
        <v>13</v>
      </c>
      <c r="D143" s="50" t="s">
        <v>80</v>
      </c>
      <c r="E143" s="316" t="s">
        <v>87</v>
      </c>
      <c r="F143" s="316"/>
      <c r="G143" s="316"/>
      <c r="H143" s="316"/>
      <c r="I143" s="316"/>
      <c r="J143" s="316"/>
      <c r="K143" s="316"/>
      <c r="L143" s="316"/>
      <c r="M143" s="316"/>
      <c r="N143" s="316"/>
    </row>
    <row r="144" spans="1:14" ht="24" customHeight="1" x14ac:dyDescent="0.25">
      <c r="A144" s="21" t="s">
        <v>42</v>
      </c>
      <c r="B144" s="22">
        <f>D140</f>
        <v>495</v>
      </c>
      <c r="C144" s="23">
        <v>0</v>
      </c>
      <c r="D144" s="24">
        <f>B144*C144</f>
        <v>0</v>
      </c>
      <c r="E144" s="316"/>
      <c r="F144" s="316"/>
      <c r="G144" s="316"/>
      <c r="H144" s="316"/>
      <c r="I144" s="316"/>
      <c r="J144" s="316"/>
      <c r="K144" s="316"/>
      <c r="L144" s="316"/>
      <c r="M144" s="316"/>
      <c r="N144" s="316"/>
    </row>
    <row r="146" spans="1:8" ht="24" customHeight="1" x14ac:dyDescent="0.25">
      <c r="A146" s="312" t="s">
        <v>88</v>
      </c>
      <c r="B146" s="312"/>
      <c r="C146" s="312"/>
      <c r="D146" s="312"/>
    </row>
    <row r="147" spans="1:8" ht="24" customHeight="1" x14ac:dyDescent="0.25">
      <c r="A147" s="47" t="s">
        <v>11</v>
      </c>
      <c r="B147" s="48" t="s">
        <v>77</v>
      </c>
      <c r="C147" s="48" t="s">
        <v>80</v>
      </c>
      <c r="D147" s="50" t="s">
        <v>83</v>
      </c>
    </row>
    <row r="148" spans="1:8" ht="24" customHeight="1" x14ac:dyDescent="0.25">
      <c r="A148" s="41" t="s">
        <v>42</v>
      </c>
      <c r="B148" s="42">
        <f>D140</f>
        <v>495</v>
      </c>
      <c r="C148" s="42">
        <f>D144</f>
        <v>0</v>
      </c>
      <c r="D148" s="44">
        <f>B148-C148</f>
        <v>495</v>
      </c>
    </row>
    <row r="150" spans="1:8" ht="51.75" customHeight="1" x14ac:dyDescent="0.25">
      <c r="A150" s="317" t="s">
        <v>89</v>
      </c>
      <c r="B150" s="317"/>
      <c r="C150" s="317"/>
      <c r="D150" s="317"/>
      <c r="E150" s="317"/>
      <c r="F150" s="317"/>
      <c r="G150" s="317"/>
      <c r="H150" s="317"/>
    </row>
    <row r="152" spans="1:8" ht="24" customHeight="1" x14ac:dyDescent="0.25">
      <c r="A152" s="312" t="s">
        <v>90</v>
      </c>
      <c r="B152" s="312"/>
      <c r="C152" s="312"/>
      <c r="D152" s="312"/>
    </row>
    <row r="153" spans="1:8" ht="24" customHeight="1" x14ac:dyDescent="0.25">
      <c r="A153" s="318" t="s">
        <v>11</v>
      </c>
      <c r="B153" s="318"/>
      <c r="C153" s="318"/>
      <c r="D153" s="50" t="s">
        <v>91</v>
      </c>
    </row>
    <row r="154" spans="1:8" ht="24" customHeight="1" x14ac:dyDescent="0.25">
      <c r="A154" s="319" t="s">
        <v>42</v>
      </c>
      <c r="B154" s="319"/>
      <c r="C154" s="319"/>
      <c r="D154" s="44">
        <v>19.8</v>
      </c>
    </row>
    <row r="156" spans="1:8" ht="46.5" customHeight="1" x14ac:dyDescent="0.25">
      <c r="A156" s="317" t="s">
        <v>92</v>
      </c>
      <c r="B156" s="317"/>
      <c r="C156" s="317"/>
      <c r="D156" s="317"/>
      <c r="E156" s="317"/>
      <c r="F156" s="317"/>
      <c r="G156" s="317"/>
      <c r="H156" s="317"/>
    </row>
    <row r="158" spans="1:8" ht="24" customHeight="1" x14ac:dyDescent="0.25">
      <c r="A158" s="312" t="s">
        <v>93</v>
      </c>
      <c r="B158" s="312"/>
      <c r="C158" s="312"/>
      <c r="D158" s="312"/>
    </row>
    <row r="159" spans="1:8" ht="24" customHeight="1" x14ac:dyDescent="0.25">
      <c r="A159" s="47" t="s">
        <v>11</v>
      </c>
      <c r="B159" s="48"/>
      <c r="C159" s="48"/>
      <c r="D159" s="50"/>
    </row>
    <row r="160" spans="1:8" ht="24" customHeight="1" x14ac:dyDescent="0.25">
      <c r="A160" s="12" t="s">
        <v>19</v>
      </c>
      <c r="B160" s="13"/>
      <c r="C160" s="13"/>
      <c r="D160" s="20"/>
    </row>
    <row r="161" spans="1:8" ht="24" customHeight="1" x14ac:dyDescent="0.25">
      <c r="A161" s="21" t="s">
        <v>20</v>
      </c>
      <c r="B161" s="22"/>
      <c r="C161" s="22"/>
      <c r="D161" s="24"/>
    </row>
    <row r="162" spans="1:8" ht="24" customHeight="1" x14ac:dyDescent="0.25">
      <c r="A162" s="25" t="s">
        <v>35</v>
      </c>
      <c r="B162" s="26"/>
      <c r="C162" s="26"/>
      <c r="D162" s="28"/>
    </row>
    <row r="163" spans="1:8" ht="24" customHeight="1" x14ac:dyDescent="0.25">
      <c r="A163" s="12" t="s">
        <v>22</v>
      </c>
      <c r="B163" s="13"/>
      <c r="C163" s="13"/>
      <c r="D163" s="20"/>
    </row>
    <row r="164" spans="1:8" ht="24" customHeight="1" x14ac:dyDescent="0.25">
      <c r="A164" s="21" t="s">
        <v>23</v>
      </c>
      <c r="B164" s="22"/>
      <c r="C164" s="22"/>
      <c r="D164" s="24"/>
    </row>
    <row r="165" spans="1:8" ht="24" customHeight="1" x14ac:dyDescent="0.25">
      <c r="A165" s="7" t="s">
        <v>24</v>
      </c>
      <c r="B165" s="16"/>
      <c r="C165" s="16"/>
      <c r="D165" s="8"/>
      <c r="H165" s="63"/>
    </row>
    <row r="167" spans="1:8" ht="24" customHeight="1" x14ac:dyDescent="0.25">
      <c r="A167" s="312" t="s">
        <v>70</v>
      </c>
      <c r="B167" s="312"/>
      <c r="C167" s="312"/>
      <c r="D167" s="312"/>
      <c r="E167" s="312"/>
      <c r="F167" s="312"/>
      <c r="G167" s="63"/>
    </row>
    <row r="168" spans="1:8" ht="24" customHeight="1" x14ac:dyDescent="0.25">
      <c r="A168" s="47" t="s">
        <v>11</v>
      </c>
      <c r="B168" s="48" t="s">
        <v>94</v>
      </c>
      <c r="C168" s="48" t="s">
        <v>95</v>
      </c>
      <c r="D168" s="48" t="s">
        <v>96</v>
      </c>
      <c r="E168" s="48" t="s">
        <v>97</v>
      </c>
      <c r="F168" s="50" t="s">
        <v>41</v>
      </c>
    </row>
    <row r="169" spans="1:8" ht="24" customHeight="1" x14ac:dyDescent="0.25">
      <c r="A169" s="41" t="s">
        <v>42</v>
      </c>
      <c r="B169" s="42">
        <f>D134</f>
        <v>42.282200000000003</v>
      </c>
      <c r="C169" s="42">
        <f>D148</f>
        <v>495</v>
      </c>
      <c r="D169" s="42">
        <f>D154</f>
        <v>19.8</v>
      </c>
      <c r="E169" s="42">
        <f>D162</f>
        <v>0</v>
      </c>
      <c r="F169" s="44">
        <f>SUM(B169:E169)</f>
        <v>557.08219999999994</v>
      </c>
    </row>
    <row r="171" spans="1:8" ht="24" customHeight="1" x14ac:dyDescent="0.25">
      <c r="A171" s="310" t="s">
        <v>43</v>
      </c>
      <c r="B171" s="310"/>
      <c r="C171" s="310"/>
      <c r="D171" s="310"/>
      <c r="E171" s="310"/>
      <c r="F171" s="310"/>
      <c r="G171" s="310"/>
      <c r="H171" s="310"/>
    </row>
    <row r="173" spans="1:8" ht="24" customHeight="1" x14ac:dyDescent="0.25">
      <c r="A173" s="312" t="s">
        <v>43</v>
      </c>
      <c r="B173" s="312"/>
      <c r="C173" s="312"/>
      <c r="D173" s="312"/>
      <c r="E173" s="312"/>
    </row>
    <row r="174" spans="1:8" ht="24" customHeight="1" x14ac:dyDescent="0.25">
      <c r="A174" s="47" t="s">
        <v>11</v>
      </c>
      <c r="B174" s="48" t="s">
        <v>98</v>
      </c>
      <c r="C174" s="48" t="s">
        <v>99</v>
      </c>
      <c r="D174" s="48" t="s">
        <v>100</v>
      </c>
      <c r="E174" s="50" t="s">
        <v>41</v>
      </c>
    </row>
    <row r="175" spans="1:8" ht="24" customHeight="1" x14ac:dyDescent="0.25">
      <c r="A175" s="7" t="s">
        <v>42</v>
      </c>
      <c r="B175" s="16">
        <f>E90</f>
        <v>390.5669444444444</v>
      </c>
      <c r="C175" s="16">
        <f>D117</f>
        <v>846.9165213888889</v>
      </c>
      <c r="D175" s="16">
        <f>F169</f>
        <v>557.08219999999994</v>
      </c>
      <c r="E175" s="8">
        <f>SUM(B175:D175)</f>
        <v>1794.5656658333332</v>
      </c>
    </row>
    <row r="177" spans="1:8" ht="24" customHeight="1" x14ac:dyDescent="0.25">
      <c r="A177" s="310" t="s">
        <v>101</v>
      </c>
      <c r="B177" s="310"/>
      <c r="C177" s="310"/>
      <c r="D177" s="310"/>
      <c r="E177" s="310"/>
      <c r="F177" s="310"/>
      <c r="G177" s="310"/>
      <c r="H177" s="310"/>
    </row>
    <row r="178" spans="1:8" ht="53.25" customHeight="1" x14ac:dyDescent="0.25">
      <c r="A178" s="309" t="s">
        <v>102</v>
      </c>
      <c r="B178" s="309"/>
      <c r="C178" s="309"/>
      <c r="D178" s="309"/>
      <c r="E178" s="309"/>
      <c r="F178" s="309"/>
      <c r="G178" s="309"/>
      <c r="H178" s="309"/>
    </row>
    <row r="180" spans="1:8" ht="16.5" customHeight="1" x14ac:dyDescent="0.25">
      <c r="A180" s="320" t="s">
        <v>103</v>
      </c>
      <c r="B180" s="320"/>
    </row>
    <row r="181" spans="1:8" x14ac:dyDescent="0.25">
      <c r="A181" s="37" t="s">
        <v>104</v>
      </c>
      <c r="B181" s="40" t="s">
        <v>13</v>
      </c>
    </row>
    <row r="182" spans="1:8" ht="31.5" x14ac:dyDescent="0.25">
      <c r="A182" s="64" t="s">
        <v>105</v>
      </c>
      <c r="B182" s="65"/>
    </row>
    <row r="183" spans="1:8" ht="31.5" x14ac:dyDescent="0.25">
      <c r="A183" s="66" t="s">
        <v>106</v>
      </c>
      <c r="B183" s="67">
        <v>0.45</v>
      </c>
    </row>
    <row r="184" spans="1:8" ht="31.5" x14ac:dyDescent="0.25">
      <c r="A184" s="66" t="s">
        <v>107</v>
      </c>
      <c r="B184" s="67">
        <v>0.55000000000000004</v>
      </c>
    </row>
    <row r="185" spans="1:8" ht="32.25" customHeight="1" x14ac:dyDescent="0.25">
      <c r="A185" s="68" t="s">
        <v>108</v>
      </c>
      <c r="B185" s="54"/>
    </row>
    <row r="186" spans="1:8" ht="30" customHeight="1" x14ac:dyDescent="0.25">
      <c r="A186" s="69" t="s">
        <v>109</v>
      </c>
      <c r="B186" s="70"/>
    </row>
    <row r="187" spans="1:8" ht="24" customHeight="1" x14ac:dyDescent="0.25">
      <c r="A187" s="37" t="s">
        <v>66</v>
      </c>
      <c r="B187" s="71">
        <f>SUM(B183:B186)</f>
        <v>1</v>
      </c>
      <c r="H187" s="3"/>
    </row>
    <row r="189" spans="1:8" ht="24" customHeight="1" x14ac:dyDescent="0.25">
      <c r="A189" s="311" t="s">
        <v>110</v>
      </c>
      <c r="B189" s="311"/>
      <c r="C189" s="311"/>
      <c r="D189" s="311"/>
      <c r="E189" s="311"/>
      <c r="F189" s="311"/>
      <c r="G189" s="311"/>
      <c r="H189" s="311"/>
    </row>
    <row r="190" spans="1:8" ht="106.5" customHeight="1" x14ac:dyDescent="0.25">
      <c r="A190" s="309" t="s">
        <v>111</v>
      </c>
      <c r="B190" s="309"/>
      <c r="C190" s="309"/>
      <c r="D190" s="309"/>
      <c r="E190" s="309"/>
      <c r="F190" s="309"/>
      <c r="G190" s="309"/>
      <c r="H190" s="309"/>
    </row>
    <row r="192" spans="1:8" ht="24" customHeight="1" x14ac:dyDescent="0.25">
      <c r="A192" s="312" t="s">
        <v>112</v>
      </c>
      <c r="B192" s="312"/>
      <c r="C192" s="312"/>
      <c r="D192" s="312"/>
    </row>
    <row r="193" spans="1:8" ht="30" customHeight="1" x14ac:dyDescent="0.25">
      <c r="A193" s="47" t="s">
        <v>11</v>
      </c>
      <c r="B193" s="48" t="s">
        <v>12</v>
      </c>
      <c r="C193" s="49" t="s">
        <v>46</v>
      </c>
      <c r="D193" s="50" t="s">
        <v>18</v>
      </c>
    </row>
    <row r="194" spans="1:8" ht="24" customHeight="1" x14ac:dyDescent="0.25">
      <c r="A194" s="41" t="s">
        <v>35</v>
      </c>
      <c r="B194" s="42">
        <f>G70+(E175-D109)</f>
        <v>3148.2148999999999</v>
      </c>
      <c r="C194" s="41">
        <v>12</v>
      </c>
      <c r="D194" s="44">
        <f>B194/C194</f>
        <v>262.35124166666668</v>
      </c>
    </row>
    <row r="196" spans="1:8" ht="25.5" customHeight="1" x14ac:dyDescent="0.25">
      <c r="A196" s="315" t="s">
        <v>113</v>
      </c>
      <c r="B196" s="315"/>
      <c r="C196" s="315"/>
      <c r="D196" s="315"/>
      <c r="E196" s="72"/>
    </row>
    <row r="197" spans="1:8" ht="28.5" customHeight="1" x14ac:dyDescent="0.25">
      <c r="A197" s="47" t="s">
        <v>11</v>
      </c>
      <c r="B197" s="48" t="s">
        <v>12</v>
      </c>
      <c r="C197" s="73" t="s">
        <v>114</v>
      </c>
      <c r="D197" s="50" t="s">
        <v>18</v>
      </c>
    </row>
    <row r="198" spans="1:8" ht="24" customHeight="1" x14ac:dyDescent="0.25">
      <c r="A198" s="41" t="s">
        <v>35</v>
      </c>
      <c r="B198" s="42">
        <f>D113</f>
        <v>191.93575555555555</v>
      </c>
      <c r="C198" s="61">
        <v>0.5</v>
      </c>
      <c r="D198" s="44">
        <f>B198*C198</f>
        <v>95.967877777777773</v>
      </c>
    </row>
    <row r="200" spans="1:8" ht="24" customHeight="1" x14ac:dyDescent="0.25">
      <c r="A200" s="312" t="s">
        <v>115</v>
      </c>
      <c r="B200" s="312"/>
      <c r="C200" s="312"/>
      <c r="D200" s="312"/>
    </row>
    <row r="201" spans="1:8" ht="24" customHeight="1" x14ac:dyDescent="0.25">
      <c r="A201" s="47" t="s">
        <v>11</v>
      </c>
      <c r="B201" s="48" t="s">
        <v>12</v>
      </c>
      <c r="C201" s="48" t="s">
        <v>13</v>
      </c>
      <c r="D201" s="50" t="s">
        <v>18</v>
      </c>
    </row>
    <row r="202" spans="1:8" ht="24" customHeight="1" x14ac:dyDescent="0.25">
      <c r="A202" s="41" t="s">
        <v>35</v>
      </c>
      <c r="B202" s="42">
        <f>D194+D198</f>
        <v>358.31911944444448</v>
      </c>
      <c r="C202" s="51">
        <f>$B$183</f>
        <v>0.45</v>
      </c>
      <c r="D202" s="44">
        <f>B202*C202</f>
        <v>161.24360375000003</v>
      </c>
    </row>
    <row r="204" spans="1:8" ht="24" customHeight="1" x14ac:dyDescent="0.25">
      <c r="A204" s="311" t="s">
        <v>116</v>
      </c>
      <c r="B204" s="311"/>
      <c r="C204" s="311"/>
      <c r="D204" s="311"/>
      <c r="E204" s="311"/>
      <c r="F204" s="311"/>
      <c r="G204" s="311"/>
      <c r="H204" s="311"/>
    </row>
    <row r="205" spans="1:8" ht="101.25" customHeight="1" x14ac:dyDescent="0.25">
      <c r="A205" s="309" t="s">
        <v>117</v>
      </c>
      <c r="B205" s="309"/>
      <c r="C205" s="309"/>
      <c r="D205" s="309"/>
      <c r="E205" s="309"/>
      <c r="F205" s="309"/>
      <c r="G205" s="309"/>
      <c r="H205" s="309"/>
    </row>
    <row r="207" spans="1:8" ht="24" customHeight="1" x14ac:dyDescent="0.25">
      <c r="A207" s="312" t="s">
        <v>118</v>
      </c>
      <c r="B207" s="312"/>
      <c r="C207" s="312"/>
      <c r="D207" s="312"/>
    </row>
    <row r="208" spans="1:8" ht="33" customHeight="1" x14ac:dyDescent="0.25">
      <c r="A208" s="47" t="s">
        <v>11</v>
      </c>
      <c r="B208" s="48" t="s">
        <v>12</v>
      </c>
      <c r="C208" s="49" t="s">
        <v>46</v>
      </c>
      <c r="D208" s="50" t="s">
        <v>18</v>
      </c>
    </row>
    <row r="209" spans="1:8" ht="24" customHeight="1" x14ac:dyDescent="0.25">
      <c r="A209" s="25" t="s">
        <v>35</v>
      </c>
      <c r="B209" s="26">
        <f>G70+E175</f>
        <v>3803.1956658333334</v>
      </c>
      <c r="C209" s="74">
        <v>12</v>
      </c>
      <c r="D209" s="28">
        <f>B209/C209</f>
        <v>316.93297215277778</v>
      </c>
    </row>
    <row r="211" spans="1:8" ht="31.5" customHeight="1" x14ac:dyDescent="0.25">
      <c r="A211" s="315" t="s">
        <v>119</v>
      </c>
      <c r="B211" s="315"/>
      <c r="C211" s="315"/>
      <c r="D211" s="315"/>
    </row>
    <row r="212" spans="1:8" ht="34.5" customHeight="1" x14ac:dyDescent="0.25">
      <c r="A212" s="47" t="s">
        <v>11</v>
      </c>
      <c r="B212" s="48" t="s">
        <v>12</v>
      </c>
      <c r="C212" s="73" t="s">
        <v>114</v>
      </c>
      <c r="D212" s="50" t="s">
        <v>18</v>
      </c>
    </row>
    <row r="213" spans="1:8" ht="24" customHeight="1" x14ac:dyDescent="0.25">
      <c r="A213" s="25" t="s">
        <v>35</v>
      </c>
      <c r="B213" s="26">
        <f>D113</f>
        <v>191.93575555555555</v>
      </c>
      <c r="C213" s="27">
        <v>0.5</v>
      </c>
      <c r="D213" s="28">
        <f>B213*C213</f>
        <v>95.967877777777773</v>
      </c>
    </row>
    <row r="215" spans="1:8" ht="24" customHeight="1" x14ac:dyDescent="0.25">
      <c r="A215" s="312" t="s">
        <v>120</v>
      </c>
      <c r="B215" s="312"/>
      <c r="C215" s="312"/>
      <c r="D215" s="312"/>
    </row>
    <row r="216" spans="1:8" ht="24" customHeight="1" x14ac:dyDescent="0.25">
      <c r="A216" s="47" t="s">
        <v>11</v>
      </c>
      <c r="B216" s="48" t="s">
        <v>12</v>
      </c>
      <c r="C216" s="48" t="s">
        <v>13</v>
      </c>
      <c r="D216" s="50" t="s">
        <v>18</v>
      </c>
    </row>
    <row r="217" spans="1:8" ht="24" customHeight="1" x14ac:dyDescent="0.25">
      <c r="A217" s="7" t="s">
        <v>35</v>
      </c>
      <c r="B217" s="16">
        <f>D209+D213</f>
        <v>412.90084993055552</v>
      </c>
      <c r="C217" s="75">
        <f>$B$184</f>
        <v>0.55000000000000004</v>
      </c>
      <c r="D217" s="8">
        <f>B217*C217</f>
        <v>227.09546746180555</v>
      </c>
    </row>
    <row r="219" spans="1:8" ht="24" customHeight="1" x14ac:dyDescent="0.25">
      <c r="A219" s="311" t="s">
        <v>121</v>
      </c>
      <c r="B219" s="311"/>
      <c r="C219" s="311"/>
      <c r="D219" s="311"/>
      <c r="E219" s="311"/>
      <c r="F219" s="311"/>
      <c r="G219" s="311"/>
      <c r="H219" s="311"/>
    </row>
    <row r="220" spans="1:8" ht="75" customHeight="1" x14ac:dyDescent="0.25">
      <c r="A220" s="321" t="s">
        <v>122</v>
      </c>
      <c r="B220" s="321"/>
      <c r="C220" s="321"/>
      <c r="D220" s="321"/>
      <c r="E220" s="321"/>
      <c r="F220" s="321"/>
      <c r="G220" s="321"/>
      <c r="H220" s="321"/>
    </row>
    <row r="221" spans="1:8" ht="20.25" customHeight="1" x14ac:dyDescent="0.25"/>
    <row r="222" spans="1:8" ht="24" customHeight="1" x14ac:dyDescent="0.25">
      <c r="A222" s="312" t="s">
        <v>123</v>
      </c>
      <c r="B222" s="312"/>
      <c r="C222" s="312"/>
      <c r="D222" s="312"/>
      <c r="E222" s="312"/>
    </row>
    <row r="223" spans="1:8" ht="46.5" customHeight="1" x14ac:dyDescent="0.25">
      <c r="A223" s="47" t="s">
        <v>11</v>
      </c>
      <c r="B223" s="49" t="s">
        <v>124</v>
      </c>
      <c r="C223" s="49" t="s">
        <v>125</v>
      </c>
      <c r="D223" s="49" t="s">
        <v>126</v>
      </c>
      <c r="E223" s="50" t="s">
        <v>18</v>
      </c>
    </row>
    <row r="224" spans="1:8" ht="24" customHeight="1" x14ac:dyDescent="0.25">
      <c r="A224" s="25" t="s">
        <v>35</v>
      </c>
      <c r="B224" s="76">
        <f>-D78</f>
        <v>-167.38583333333332</v>
      </c>
      <c r="C224" s="76">
        <f>-D82</f>
        <v>-167.38583333333332</v>
      </c>
      <c r="D224" s="76">
        <f>-E86</f>
        <v>-55.79527777777777</v>
      </c>
      <c r="E224" s="77">
        <f>SUM(B224:D224)</f>
        <v>-390.5669444444444</v>
      </c>
    </row>
    <row r="226" spans="1:8" ht="24" customHeight="1" x14ac:dyDescent="0.25">
      <c r="A226" s="312" t="s">
        <v>127</v>
      </c>
      <c r="B226" s="312"/>
      <c r="C226" s="312"/>
      <c r="D226" s="312"/>
    </row>
    <row r="227" spans="1:8" ht="24" customHeight="1" x14ac:dyDescent="0.25">
      <c r="A227" s="47" t="s">
        <v>11</v>
      </c>
      <c r="B227" s="48" t="s">
        <v>27</v>
      </c>
      <c r="C227" s="48" t="s">
        <v>13</v>
      </c>
      <c r="D227" s="50" t="s">
        <v>18</v>
      </c>
    </row>
    <row r="228" spans="1:8" ht="24" customHeight="1" x14ac:dyDescent="0.25">
      <c r="A228" s="7" t="s">
        <v>35</v>
      </c>
      <c r="B228" s="78">
        <f>E224</f>
        <v>-390.5669444444444</v>
      </c>
      <c r="C228" s="75">
        <f>$B$185</f>
        <v>0</v>
      </c>
      <c r="D228" s="79">
        <f>B228*C228</f>
        <v>0</v>
      </c>
    </row>
    <row r="230" spans="1:8" ht="24" customHeight="1" x14ac:dyDescent="0.25">
      <c r="A230" s="310" t="s">
        <v>101</v>
      </c>
      <c r="B230" s="310"/>
      <c r="C230" s="310"/>
      <c r="D230" s="310"/>
      <c r="E230" s="310"/>
      <c r="F230" s="310"/>
      <c r="G230" s="310"/>
      <c r="H230" s="310"/>
    </row>
    <row r="232" spans="1:8" ht="24" customHeight="1" x14ac:dyDescent="0.25">
      <c r="A232" s="312" t="s">
        <v>101</v>
      </c>
      <c r="B232" s="312"/>
      <c r="C232" s="312"/>
      <c r="D232" s="312"/>
      <c r="E232" s="312"/>
    </row>
    <row r="233" spans="1:8" ht="24" customHeight="1" x14ac:dyDescent="0.25">
      <c r="A233" s="47" t="s">
        <v>11</v>
      </c>
      <c r="B233" s="48" t="s">
        <v>128</v>
      </c>
      <c r="C233" s="48" t="s">
        <v>129</v>
      </c>
      <c r="D233" s="48" t="s">
        <v>130</v>
      </c>
      <c r="E233" s="50" t="s">
        <v>41</v>
      </c>
    </row>
    <row r="234" spans="1:8" ht="24" customHeight="1" x14ac:dyDescent="0.25">
      <c r="A234" s="41" t="s">
        <v>35</v>
      </c>
      <c r="B234" s="42">
        <f>D202</f>
        <v>161.24360375000003</v>
      </c>
      <c r="C234" s="42">
        <f>D217</f>
        <v>227.09546746180555</v>
      </c>
      <c r="D234" s="80">
        <f>D228</f>
        <v>0</v>
      </c>
      <c r="E234" s="44">
        <f>SUM(B234:D234)</f>
        <v>388.33907121180562</v>
      </c>
    </row>
    <row r="236" spans="1:8" ht="24" customHeight="1" x14ac:dyDescent="0.25">
      <c r="A236" s="310" t="s">
        <v>131</v>
      </c>
      <c r="B236" s="310"/>
      <c r="C236" s="310"/>
      <c r="D236" s="310"/>
      <c r="E236" s="310"/>
      <c r="F236" s="310"/>
      <c r="G236" s="310"/>
      <c r="H236" s="310"/>
    </row>
    <row r="237" spans="1:8" ht="144" customHeight="1" x14ac:dyDescent="0.25">
      <c r="A237" s="309" t="s">
        <v>132</v>
      </c>
      <c r="B237" s="309"/>
      <c r="C237" s="309"/>
      <c r="D237" s="309"/>
      <c r="E237" s="309"/>
      <c r="F237" s="309"/>
      <c r="G237" s="309"/>
      <c r="H237" s="309"/>
    </row>
    <row r="239" spans="1:8" ht="24" customHeight="1" x14ac:dyDescent="0.25">
      <c r="A239" s="315" t="s">
        <v>133</v>
      </c>
      <c r="B239" s="315"/>
      <c r="C239" s="315"/>
      <c r="D239" s="315"/>
      <c r="E239" s="315"/>
      <c r="F239" s="315"/>
      <c r="G239" s="315"/>
    </row>
    <row r="240" spans="1:8" ht="16.5" customHeight="1" x14ac:dyDescent="0.25">
      <c r="A240" s="315" t="s">
        <v>134</v>
      </c>
      <c r="B240" s="315"/>
      <c r="C240" s="315"/>
      <c r="D240" s="315"/>
      <c r="E240" s="315"/>
      <c r="F240" s="315"/>
      <c r="G240" s="315"/>
    </row>
    <row r="241" spans="1:7" ht="24" customHeight="1" x14ac:dyDescent="0.25">
      <c r="A241" s="315" t="s">
        <v>11</v>
      </c>
      <c r="B241" s="315" t="s">
        <v>135</v>
      </c>
      <c r="C241" s="315" t="s">
        <v>136</v>
      </c>
      <c r="D241" s="81" t="s">
        <v>137</v>
      </c>
      <c r="E241" s="82"/>
      <c r="F241" s="81" t="s">
        <v>138</v>
      </c>
      <c r="G241" s="82"/>
    </row>
    <row r="242" spans="1:7" ht="31.5" customHeight="1" x14ac:dyDescent="0.25">
      <c r="A242" s="315"/>
      <c r="B242" s="315"/>
      <c r="C242" s="315"/>
      <c r="D242" s="45" t="s">
        <v>139</v>
      </c>
      <c r="E242" s="45" t="s">
        <v>140</v>
      </c>
      <c r="F242" s="45" t="s">
        <v>139</v>
      </c>
      <c r="G242" s="45" t="s">
        <v>140</v>
      </c>
    </row>
    <row r="243" spans="1:7" ht="24" customHeight="1" x14ac:dyDescent="0.25">
      <c r="A243" s="83" t="s">
        <v>141</v>
      </c>
      <c r="B243" s="84">
        <v>1</v>
      </c>
      <c r="C243" s="85">
        <v>30</v>
      </c>
      <c r="D243" s="86">
        <v>0.5</v>
      </c>
      <c r="E243" s="87">
        <f t="shared" ref="E243:E254" si="1">(B243*C243)*D243</f>
        <v>15</v>
      </c>
      <c r="F243" s="88">
        <f>(252/365)</f>
        <v>0.69041095890410964</v>
      </c>
      <c r="G243" s="87">
        <f t="shared" ref="G243:G254" si="2">(B243*C243)*F243</f>
        <v>20.712328767123289</v>
      </c>
    </row>
    <row r="244" spans="1:7" ht="24" customHeight="1" x14ac:dyDescent="0.25">
      <c r="A244" s="68" t="s">
        <v>142</v>
      </c>
      <c r="B244" s="89">
        <v>1</v>
      </c>
      <c r="C244" s="90">
        <v>1</v>
      </c>
      <c r="D244" s="91">
        <v>1</v>
      </c>
      <c r="E244" s="92">
        <f t="shared" si="1"/>
        <v>1</v>
      </c>
      <c r="F244" s="93">
        <v>1</v>
      </c>
      <c r="G244" s="92">
        <f t="shared" si="2"/>
        <v>1</v>
      </c>
    </row>
    <row r="245" spans="1:7" ht="24" customHeight="1" x14ac:dyDescent="0.25">
      <c r="A245" s="68" t="s">
        <v>143</v>
      </c>
      <c r="B245" s="89"/>
      <c r="C245" s="90">
        <v>15</v>
      </c>
      <c r="D245" s="91">
        <v>0.5</v>
      </c>
      <c r="E245" s="92">
        <f t="shared" si="1"/>
        <v>0</v>
      </c>
      <c r="F245" s="93">
        <f>(252/365)</f>
        <v>0.69041095890410964</v>
      </c>
      <c r="G245" s="92">
        <f t="shared" si="2"/>
        <v>0</v>
      </c>
    </row>
    <row r="246" spans="1:7" ht="24" customHeight="1" x14ac:dyDescent="0.25">
      <c r="A246" s="68" t="s">
        <v>144</v>
      </c>
      <c r="B246" s="89"/>
      <c r="C246" s="90">
        <v>5</v>
      </c>
      <c r="D246" s="91">
        <v>0.5</v>
      </c>
      <c r="E246" s="92">
        <f t="shared" si="1"/>
        <v>0</v>
      </c>
      <c r="F246" s="93">
        <f>(252/365)</f>
        <v>0.69041095890410964</v>
      </c>
      <c r="G246" s="92">
        <f t="shared" si="2"/>
        <v>0</v>
      </c>
    </row>
    <row r="247" spans="1:7" ht="24" customHeight="1" x14ac:dyDescent="0.25">
      <c r="A247" s="68" t="s">
        <v>145</v>
      </c>
      <c r="B247" s="89"/>
      <c r="C247" s="90">
        <v>2</v>
      </c>
      <c r="D247" s="91">
        <v>1</v>
      </c>
      <c r="E247" s="92">
        <f t="shared" si="1"/>
        <v>0</v>
      </c>
      <c r="F247" s="93">
        <v>1</v>
      </c>
      <c r="G247" s="92">
        <f t="shared" si="2"/>
        <v>0</v>
      </c>
    </row>
    <row r="248" spans="1:7" ht="24" customHeight="1" x14ac:dyDescent="0.25">
      <c r="A248" s="68" t="s">
        <v>146</v>
      </c>
      <c r="B248" s="89"/>
      <c r="C248" s="90">
        <v>2</v>
      </c>
      <c r="D248" s="91">
        <v>0.5</v>
      </c>
      <c r="E248" s="92">
        <f t="shared" si="1"/>
        <v>0</v>
      </c>
      <c r="F248" s="93">
        <f>(252/365)</f>
        <v>0.69041095890410964</v>
      </c>
      <c r="G248" s="92">
        <f t="shared" si="2"/>
        <v>0</v>
      </c>
    </row>
    <row r="249" spans="1:7" ht="24" customHeight="1" x14ac:dyDescent="0.25">
      <c r="A249" s="68" t="s">
        <v>147</v>
      </c>
      <c r="B249" s="89"/>
      <c r="C249" s="90">
        <v>3</v>
      </c>
      <c r="D249" s="91">
        <v>0.5</v>
      </c>
      <c r="E249" s="92">
        <f t="shared" si="1"/>
        <v>0</v>
      </c>
      <c r="F249" s="93">
        <v>1</v>
      </c>
      <c r="G249" s="92">
        <f t="shared" si="2"/>
        <v>0</v>
      </c>
    </row>
    <row r="250" spans="1:7" ht="24" customHeight="1" x14ac:dyDescent="0.25">
      <c r="A250" s="68" t="s">
        <v>148</v>
      </c>
      <c r="B250" s="89"/>
      <c r="C250" s="90">
        <v>1</v>
      </c>
      <c r="D250" s="91">
        <v>1</v>
      </c>
      <c r="E250" s="92">
        <f t="shared" si="1"/>
        <v>0</v>
      </c>
      <c r="F250" s="93">
        <v>1</v>
      </c>
      <c r="G250" s="92">
        <f t="shared" si="2"/>
        <v>0</v>
      </c>
    </row>
    <row r="251" spans="1:7" ht="24" customHeight="1" x14ac:dyDescent="0.25">
      <c r="A251" s="68" t="s">
        <v>149</v>
      </c>
      <c r="B251" s="89"/>
      <c r="C251" s="90">
        <v>1</v>
      </c>
      <c r="D251" s="91">
        <v>1</v>
      </c>
      <c r="E251" s="92">
        <f t="shared" si="1"/>
        <v>0</v>
      </c>
      <c r="F251" s="93">
        <v>1</v>
      </c>
      <c r="G251" s="92">
        <f t="shared" si="2"/>
        <v>0</v>
      </c>
    </row>
    <row r="252" spans="1:7" ht="24" customHeight="1" x14ac:dyDescent="0.25">
      <c r="A252" s="68" t="s">
        <v>150</v>
      </c>
      <c r="B252" s="89"/>
      <c r="C252" s="90">
        <v>20</v>
      </c>
      <c r="D252" s="91">
        <v>0.5</v>
      </c>
      <c r="E252" s="92">
        <f t="shared" si="1"/>
        <v>0</v>
      </c>
      <c r="F252" s="93">
        <f>(252/365)</f>
        <v>0.69041095890410964</v>
      </c>
      <c r="G252" s="92">
        <f t="shared" si="2"/>
        <v>0</v>
      </c>
    </row>
    <row r="253" spans="1:7" ht="24" customHeight="1" x14ac:dyDescent="0.25">
      <c r="A253" s="68" t="s">
        <v>151</v>
      </c>
      <c r="B253" s="89"/>
      <c r="C253" s="90">
        <v>180</v>
      </c>
      <c r="D253" s="91">
        <v>0.5</v>
      </c>
      <c r="E253" s="92">
        <f t="shared" si="1"/>
        <v>0</v>
      </c>
      <c r="F253" s="93">
        <f>(252/365)</f>
        <v>0.69041095890410964</v>
      </c>
      <c r="G253" s="92">
        <f t="shared" si="2"/>
        <v>0</v>
      </c>
    </row>
    <row r="254" spans="1:7" ht="24" customHeight="1" x14ac:dyDescent="0.25">
      <c r="A254" s="94" t="s">
        <v>152</v>
      </c>
      <c r="B254" s="95"/>
      <c r="C254" s="96">
        <v>6</v>
      </c>
      <c r="D254" s="97">
        <v>1</v>
      </c>
      <c r="E254" s="98">
        <f t="shared" si="1"/>
        <v>0</v>
      </c>
      <c r="F254" s="99">
        <v>1</v>
      </c>
      <c r="G254" s="98">
        <f t="shared" si="2"/>
        <v>0</v>
      </c>
    </row>
    <row r="256" spans="1:7" ht="24" customHeight="1" x14ac:dyDescent="0.25">
      <c r="A256" s="315" t="s">
        <v>153</v>
      </c>
      <c r="B256" s="315"/>
      <c r="C256" s="315"/>
      <c r="D256" s="315"/>
    </row>
    <row r="257" spans="1:8" ht="24" customHeight="1" x14ac:dyDescent="0.25">
      <c r="A257" s="322" t="s">
        <v>154</v>
      </c>
      <c r="B257" s="315" t="s">
        <v>155</v>
      </c>
      <c r="C257" s="315"/>
      <c r="D257" s="315"/>
    </row>
    <row r="258" spans="1:8" ht="26.25" customHeight="1" x14ac:dyDescent="0.25">
      <c r="A258" s="322"/>
      <c r="B258" s="100" t="s">
        <v>156</v>
      </c>
      <c r="C258" s="39" t="s">
        <v>157</v>
      </c>
      <c r="D258" s="101" t="s">
        <v>158</v>
      </c>
    </row>
    <row r="259" spans="1:8" ht="24" customHeight="1" x14ac:dyDescent="0.25">
      <c r="A259" s="83" t="s">
        <v>141</v>
      </c>
      <c r="B259" s="84">
        <f t="shared" ref="B259:B270" si="3">E243</f>
        <v>15</v>
      </c>
      <c r="C259" s="84">
        <f t="shared" ref="C259:C270" si="4">E243</f>
        <v>15</v>
      </c>
      <c r="D259" s="102">
        <f t="shared" ref="D259:D270" si="5">G243</f>
        <v>20.712328767123289</v>
      </c>
    </row>
    <row r="260" spans="1:8" ht="24" customHeight="1" x14ac:dyDescent="0.25">
      <c r="A260" s="68" t="s">
        <v>142</v>
      </c>
      <c r="B260" s="89">
        <f t="shared" si="3"/>
        <v>1</v>
      </c>
      <c r="C260" s="89">
        <f t="shared" si="4"/>
        <v>1</v>
      </c>
      <c r="D260" s="103">
        <f t="shared" si="5"/>
        <v>1</v>
      </c>
    </row>
    <row r="261" spans="1:8" ht="24" customHeight="1" x14ac:dyDescent="0.25">
      <c r="A261" s="68" t="s">
        <v>143</v>
      </c>
      <c r="B261" s="89">
        <f t="shared" si="3"/>
        <v>0</v>
      </c>
      <c r="C261" s="89">
        <f t="shared" si="4"/>
        <v>0</v>
      </c>
      <c r="D261" s="103">
        <f t="shared" si="5"/>
        <v>0</v>
      </c>
    </row>
    <row r="262" spans="1:8" ht="24" customHeight="1" x14ac:dyDescent="0.25">
      <c r="A262" s="68" t="s">
        <v>144</v>
      </c>
      <c r="B262" s="89">
        <f t="shared" si="3"/>
        <v>0</v>
      </c>
      <c r="C262" s="89">
        <f t="shared" si="4"/>
        <v>0</v>
      </c>
      <c r="D262" s="103">
        <f t="shared" si="5"/>
        <v>0</v>
      </c>
    </row>
    <row r="263" spans="1:8" ht="24" customHeight="1" x14ac:dyDescent="0.25">
      <c r="A263" s="68" t="s">
        <v>145</v>
      </c>
      <c r="B263" s="89">
        <f t="shared" si="3"/>
        <v>0</v>
      </c>
      <c r="C263" s="89">
        <f t="shared" si="4"/>
        <v>0</v>
      </c>
      <c r="D263" s="103">
        <f t="shared" si="5"/>
        <v>0</v>
      </c>
    </row>
    <row r="264" spans="1:8" ht="24" customHeight="1" x14ac:dyDescent="0.25">
      <c r="A264" s="68" t="s">
        <v>146</v>
      </c>
      <c r="B264" s="89">
        <f t="shared" si="3"/>
        <v>0</v>
      </c>
      <c r="C264" s="89">
        <f t="shared" si="4"/>
        <v>0</v>
      </c>
      <c r="D264" s="103">
        <f t="shared" si="5"/>
        <v>0</v>
      </c>
    </row>
    <row r="265" spans="1:8" ht="24" customHeight="1" x14ac:dyDescent="0.25">
      <c r="A265" s="68" t="s">
        <v>147</v>
      </c>
      <c r="B265" s="89">
        <f t="shared" si="3"/>
        <v>0</v>
      </c>
      <c r="C265" s="89">
        <f t="shared" si="4"/>
        <v>0</v>
      </c>
      <c r="D265" s="103">
        <f t="shared" si="5"/>
        <v>0</v>
      </c>
    </row>
    <row r="266" spans="1:8" ht="24" customHeight="1" x14ac:dyDescent="0.25">
      <c r="A266" s="68" t="s">
        <v>148</v>
      </c>
      <c r="B266" s="89">
        <f t="shared" si="3"/>
        <v>0</v>
      </c>
      <c r="C266" s="89">
        <f t="shared" si="4"/>
        <v>0</v>
      </c>
      <c r="D266" s="103">
        <f t="shared" si="5"/>
        <v>0</v>
      </c>
    </row>
    <row r="267" spans="1:8" ht="24" customHeight="1" x14ac:dyDescent="0.25">
      <c r="A267" s="68" t="s">
        <v>149</v>
      </c>
      <c r="B267" s="89">
        <f t="shared" si="3"/>
        <v>0</v>
      </c>
      <c r="C267" s="89">
        <f t="shared" si="4"/>
        <v>0</v>
      </c>
      <c r="D267" s="103">
        <f t="shared" si="5"/>
        <v>0</v>
      </c>
    </row>
    <row r="268" spans="1:8" ht="24" customHeight="1" x14ac:dyDescent="0.25">
      <c r="A268" s="68" t="s">
        <v>150</v>
      </c>
      <c r="B268" s="89">
        <f t="shared" si="3"/>
        <v>0</v>
      </c>
      <c r="C268" s="89">
        <f t="shared" si="4"/>
        <v>0</v>
      </c>
      <c r="D268" s="103">
        <f t="shared" si="5"/>
        <v>0</v>
      </c>
    </row>
    <row r="269" spans="1:8" ht="24" customHeight="1" x14ac:dyDescent="0.25">
      <c r="A269" s="68" t="s">
        <v>151</v>
      </c>
      <c r="B269" s="89">
        <f t="shared" si="3"/>
        <v>0</v>
      </c>
      <c r="C269" s="89">
        <f t="shared" si="4"/>
        <v>0</v>
      </c>
      <c r="D269" s="103">
        <f t="shared" si="5"/>
        <v>0</v>
      </c>
    </row>
    <row r="270" spans="1:8" ht="24" customHeight="1" x14ac:dyDescent="0.25">
      <c r="A270" s="69" t="s">
        <v>152</v>
      </c>
      <c r="B270" s="104">
        <f t="shared" si="3"/>
        <v>0</v>
      </c>
      <c r="C270" s="104">
        <f t="shared" si="4"/>
        <v>0</v>
      </c>
      <c r="D270" s="105">
        <f t="shared" si="5"/>
        <v>0</v>
      </c>
    </row>
    <row r="271" spans="1:8" ht="24" customHeight="1" x14ac:dyDescent="0.25">
      <c r="A271" s="100" t="s">
        <v>159</v>
      </c>
      <c r="B271" s="106">
        <f>SUM(B259:B270)</f>
        <v>16</v>
      </c>
      <c r="C271" s="106">
        <f>SUM(C259:C270)</f>
        <v>16</v>
      </c>
      <c r="D271" s="107">
        <f>SUM(D259:D270)</f>
        <v>21.712328767123289</v>
      </c>
      <c r="H271" s="3"/>
    </row>
    <row r="273" spans="1:8" ht="24" customHeight="1" x14ac:dyDescent="0.25">
      <c r="A273" s="311" t="s">
        <v>160</v>
      </c>
      <c r="B273" s="311"/>
      <c r="C273" s="311"/>
      <c r="D273" s="311"/>
      <c r="E273" s="311"/>
      <c r="F273" s="311"/>
      <c r="G273" s="311"/>
      <c r="H273" s="311"/>
    </row>
    <row r="274" spans="1:8" ht="78" customHeight="1" x14ac:dyDescent="0.25">
      <c r="A274" s="309" t="s">
        <v>161</v>
      </c>
      <c r="B274" s="309"/>
      <c r="C274" s="309"/>
      <c r="D274" s="309"/>
      <c r="E274" s="309"/>
      <c r="F274" s="309"/>
      <c r="G274" s="309"/>
      <c r="H274" s="309"/>
    </row>
    <row r="276" spans="1:8" ht="24" customHeight="1" x14ac:dyDescent="0.25">
      <c r="A276" s="312" t="s">
        <v>162</v>
      </c>
      <c r="B276" s="312"/>
      <c r="C276" s="312"/>
      <c r="D276" s="312"/>
    </row>
    <row r="277" spans="1:8" ht="24" customHeight="1" x14ac:dyDescent="0.25">
      <c r="A277" s="47" t="s">
        <v>11</v>
      </c>
      <c r="B277" s="48" t="s">
        <v>12</v>
      </c>
      <c r="C277" s="48" t="s">
        <v>163</v>
      </c>
      <c r="D277" s="50" t="s">
        <v>164</v>
      </c>
    </row>
    <row r="278" spans="1:8" ht="24" customHeight="1" x14ac:dyDescent="0.25">
      <c r="A278" s="12" t="s">
        <v>19</v>
      </c>
      <c r="B278" s="13" t="e">
        <f>#REF!+#REF!+#REF!</f>
        <v>#REF!</v>
      </c>
      <c r="C278" s="108">
        <v>30</v>
      </c>
      <c r="D278" s="20" t="e">
        <f t="shared" ref="D278:D283" si="6">B278/C278</f>
        <v>#REF!</v>
      </c>
    </row>
    <row r="279" spans="1:8" ht="24" customHeight="1" x14ac:dyDescent="0.25">
      <c r="A279" s="21" t="s">
        <v>20</v>
      </c>
      <c r="B279" s="22" t="e">
        <f>#REF!+#REF!+#REF!</f>
        <v>#REF!</v>
      </c>
      <c r="C279" s="109">
        <f>C278</f>
        <v>30</v>
      </c>
      <c r="D279" s="24" t="e">
        <f t="shared" si="6"/>
        <v>#REF!</v>
      </c>
    </row>
    <row r="280" spans="1:8" ht="24" customHeight="1" x14ac:dyDescent="0.25">
      <c r="A280" s="25" t="s">
        <v>35</v>
      </c>
      <c r="B280" s="26">
        <f>G70+E175+E234</f>
        <v>4191.5347370451391</v>
      </c>
      <c r="C280" s="110">
        <f>C279</f>
        <v>30</v>
      </c>
      <c r="D280" s="28">
        <f t="shared" si="6"/>
        <v>139.7178245681713</v>
      </c>
    </row>
    <row r="281" spans="1:8" ht="24" customHeight="1" x14ac:dyDescent="0.25">
      <c r="A281" s="12" t="s">
        <v>22</v>
      </c>
      <c r="B281" s="13" t="e">
        <f>#REF!+#REF!+#REF!</f>
        <v>#REF!</v>
      </c>
      <c r="C281" s="108">
        <f>C280</f>
        <v>30</v>
      </c>
      <c r="D281" s="20" t="e">
        <f t="shared" si="6"/>
        <v>#REF!</v>
      </c>
    </row>
    <row r="282" spans="1:8" ht="24" customHeight="1" x14ac:dyDescent="0.25">
      <c r="A282" s="21" t="s">
        <v>23</v>
      </c>
      <c r="B282" s="22" t="e">
        <f>#REF!+#REF!+#REF!</f>
        <v>#REF!</v>
      </c>
      <c r="C282" s="109">
        <f>C281</f>
        <v>30</v>
      </c>
      <c r="D282" s="24" t="e">
        <f t="shared" si="6"/>
        <v>#REF!</v>
      </c>
    </row>
    <row r="283" spans="1:8" ht="24" customHeight="1" x14ac:dyDescent="0.25">
      <c r="A283" s="7" t="s">
        <v>24</v>
      </c>
      <c r="B283" s="16" t="e">
        <f>#REF!+#REF!+#REF!</f>
        <v>#REF!</v>
      </c>
      <c r="C283" s="62">
        <f>C282</f>
        <v>30</v>
      </c>
      <c r="D283" s="8" t="e">
        <f t="shared" si="6"/>
        <v>#REF!</v>
      </c>
    </row>
    <row r="285" spans="1:8" ht="24" customHeight="1" x14ac:dyDescent="0.25">
      <c r="A285" s="315" t="s">
        <v>160</v>
      </c>
      <c r="B285" s="315"/>
      <c r="C285" s="315"/>
      <c r="D285" s="315"/>
      <c r="E285" s="315"/>
    </row>
    <row r="286" spans="1:8" ht="33.75" customHeight="1" x14ac:dyDescent="0.25">
      <c r="A286" s="47" t="s">
        <v>11</v>
      </c>
      <c r="B286" s="48" t="s">
        <v>164</v>
      </c>
      <c r="C286" s="49" t="s">
        <v>165</v>
      </c>
      <c r="D286" s="48" t="s">
        <v>166</v>
      </c>
      <c r="E286" s="50" t="s">
        <v>167</v>
      </c>
    </row>
    <row r="287" spans="1:8" ht="24" customHeight="1" x14ac:dyDescent="0.25">
      <c r="A287" s="12" t="s">
        <v>19</v>
      </c>
      <c r="B287" s="13" t="e">
        <f t="shared" ref="B287:B292" si="7">D278</f>
        <v>#REF!</v>
      </c>
      <c r="C287" s="111">
        <f>B271</f>
        <v>16</v>
      </c>
      <c r="D287" s="13" t="e">
        <f t="shared" ref="D287:D292" si="8">B287*C287</f>
        <v>#REF!</v>
      </c>
      <c r="E287" s="20" t="e">
        <f t="shared" ref="E287:E292" si="9">D287/12</f>
        <v>#REF!</v>
      </c>
    </row>
    <row r="288" spans="1:8" ht="24" customHeight="1" x14ac:dyDescent="0.25">
      <c r="A288" s="21" t="s">
        <v>20</v>
      </c>
      <c r="B288" s="22" t="e">
        <f t="shared" si="7"/>
        <v>#REF!</v>
      </c>
      <c r="C288" s="112">
        <f>C271</f>
        <v>16</v>
      </c>
      <c r="D288" s="22" t="e">
        <f t="shared" si="8"/>
        <v>#REF!</v>
      </c>
      <c r="E288" s="24" t="e">
        <f t="shared" si="9"/>
        <v>#REF!</v>
      </c>
    </row>
    <row r="289" spans="1:8" ht="24" customHeight="1" x14ac:dyDescent="0.25">
      <c r="A289" s="25" t="s">
        <v>35</v>
      </c>
      <c r="B289" s="26">
        <f t="shared" si="7"/>
        <v>139.7178245681713</v>
      </c>
      <c r="C289" s="113">
        <f>D271</f>
        <v>21.712328767123289</v>
      </c>
      <c r="D289" s="26">
        <f t="shared" si="8"/>
        <v>3033.5993416513907</v>
      </c>
      <c r="E289" s="28">
        <f t="shared" si="9"/>
        <v>252.79994513761588</v>
      </c>
    </row>
    <row r="290" spans="1:8" ht="24" customHeight="1" x14ac:dyDescent="0.25">
      <c r="A290" s="12" t="s">
        <v>22</v>
      </c>
      <c r="B290" s="13" t="e">
        <f t="shared" si="7"/>
        <v>#REF!</v>
      </c>
      <c r="C290" s="111">
        <f>B271</f>
        <v>16</v>
      </c>
      <c r="D290" s="13" t="e">
        <f t="shared" si="8"/>
        <v>#REF!</v>
      </c>
      <c r="E290" s="20" t="e">
        <f t="shared" si="9"/>
        <v>#REF!</v>
      </c>
    </row>
    <row r="291" spans="1:8" ht="24" customHeight="1" x14ac:dyDescent="0.25">
      <c r="A291" s="21" t="s">
        <v>23</v>
      </c>
      <c r="B291" s="22" t="e">
        <f t="shared" si="7"/>
        <v>#REF!</v>
      </c>
      <c r="C291" s="112">
        <f>C271</f>
        <v>16</v>
      </c>
      <c r="D291" s="22" t="e">
        <f t="shared" si="8"/>
        <v>#REF!</v>
      </c>
      <c r="E291" s="24" t="e">
        <f t="shared" si="9"/>
        <v>#REF!</v>
      </c>
    </row>
    <row r="292" spans="1:8" ht="24" customHeight="1" x14ac:dyDescent="0.25">
      <c r="A292" s="7" t="s">
        <v>24</v>
      </c>
      <c r="B292" s="16" t="e">
        <f t="shared" si="7"/>
        <v>#REF!</v>
      </c>
      <c r="C292" s="114">
        <f>D271</f>
        <v>21.712328767123289</v>
      </c>
      <c r="D292" s="16" t="e">
        <f t="shared" si="8"/>
        <v>#REF!</v>
      </c>
      <c r="E292" s="8" t="e">
        <f t="shared" si="9"/>
        <v>#REF!</v>
      </c>
      <c r="H292" s="3"/>
    </row>
    <row r="294" spans="1:8" ht="24" customHeight="1" x14ac:dyDescent="0.25">
      <c r="A294" s="311" t="s">
        <v>168</v>
      </c>
      <c r="B294" s="311"/>
      <c r="C294" s="311"/>
      <c r="D294" s="311"/>
      <c r="E294" s="311"/>
      <c r="F294" s="311"/>
      <c r="G294" s="311"/>
      <c r="H294" s="311"/>
    </row>
    <row r="295" spans="1:8" ht="119.25" customHeight="1" x14ac:dyDescent="0.25">
      <c r="A295" s="309" t="s">
        <v>169</v>
      </c>
      <c r="B295" s="309"/>
      <c r="C295" s="309"/>
      <c r="D295" s="309"/>
      <c r="E295" s="309"/>
      <c r="F295" s="309"/>
      <c r="G295" s="309"/>
      <c r="H295" s="309"/>
    </row>
    <row r="296" spans="1:8" ht="22.5" customHeight="1" x14ac:dyDescent="0.25"/>
    <row r="297" spans="1:8" ht="22.5" customHeight="1" x14ac:dyDescent="0.25">
      <c r="A297" s="312" t="s">
        <v>170</v>
      </c>
      <c r="B297" s="312"/>
      <c r="C297" s="312"/>
      <c r="D297" s="312"/>
    </row>
    <row r="298" spans="1:8" ht="22.5" customHeight="1" x14ac:dyDescent="0.25">
      <c r="A298" s="47" t="s">
        <v>11</v>
      </c>
      <c r="B298" s="48" t="s">
        <v>12</v>
      </c>
      <c r="C298" s="48" t="s">
        <v>171</v>
      </c>
      <c r="D298" s="50" t="s">
        <v>18</v>
      </c>
    </row>
    <row r="299" spans="1:8" ht="22.5" customHeight="1" x14ac:dyDescent="0.25">
      <c r="A299" s="12" t="s">
        <v>19</v>
      </c>
      <c r="B299" s="13" t="e">
        <f>#REF!+#REF!+#REF!</f>
        <v>#REF!</v>
      </c>
      <c r="C299" s="31">
        <v>220</v>
      </c>
      <c r="D299" s="20" t="e">
        <f>B299/C299</f>
        <v>#REF!</v>
      </c>
    </row>
    <row r="300" spans="1:8" ht="24" customHeight="1" x14ac:dyDescent="0.25">
      <c r="A300" s="21" t="s">
        <v>20</v>
      </c>
      <c r="B300" s="22" t="e">
        <f>#REF!+#REF!+#REF!</f>
        <v>#REF!</v>
      </c>
      <c r="C300" s="33">
        <f>C299</f>
        <v>220</v>
      </c>
      <c r="D300" s="24" t="e">
        <f>B300/C300</f>
        <v>#REF!</v>
      </c>
    </row>
    <row r="301" spans="1:8" ht="24" customHeight="1" x14ac:dyDescent="0.25">
      <c r="A301" s="7" t="s">
        <v>35</v>
      </c>
      <c r="B301" s="16">
        <f>G70+E175+E234</f>
        <v>4191.5347370451391</v>
      </c>
      <c r="C301" s="35">
        <f>C300</f>
        <v>220</v>
      </c>
      <c r="D301" s="8">
        <f>B301/C301</f>
        <v>19.052430622932452</v>
      </c>
    </row>
    <row r="303" spans="1:8" ht="24" customHeight="1" x14ac:dyDescent="0.25">
      <c r="A303" s="323" t="s">
        <v>168</v>
      </c>
      <c r="B303" s="323"/>
      <c r="C303" s="323"/>
      <c r="D303" s="323"/>
    </row>
    <row r="304" spans="1:8" ht="30" customHeight="1" x14ac:dyDescent="0.25">
      <c r="A304" s="37" t="s">
        <v>11</v>
      </c>
      <c r="B304" s="38" t="s">
        <v>172</v>
      </c>
      <c r="C304" s="39" t="s">
        <v>173</v>
      </c>
      <c r="D304" s="40" t="s">
        <v>18</v>
      </c>
    </row>
    <row r="305" spans="1:8" ht="24" customHeight="1" x14ac:dyDescent="0.25">
      <c r="A305" s="12" t="s">
        <v>19</v>
      </c>
      <c r="B305" s="13" t="e">
        <f>D299</f>
        <v>#REF!</v>
      </c>
      <c r="C305" s="31">
        <v>15</v>
      </c>
      <c r="D305" s="20" t="e">
        <f>B305*C305</f>
        <v>#REF!</v>
      </c>
    </row>
    <row r="306" spans="1:8" ht="24" customHeight="1" x14ac:dyDescent="0.25">
      <c r="A306" s="21" t="s">
        <v>20</v>
      </c>
      <c r="B306" s="22" t="e">
        <f>D300</f>
        <v>#REF!</v>
      </c>
      <c r="C306" s="33">
        <v>15</v>
      </c>
      <c r="D306" s="24" t="e">
        <f>B306*C306</f>
        <v>#REF!</v>
      </c>
    </row>
    <row r="307" spans="1:8" ht="24" customHeight="1" x14ac:dyDescent="0.25">
      <c r="A307" s="7" t="s">
        <v>35</v>
      </c>
      <c r="B307" s="16">
        <f>D301</f>
        <v>19.052430622932452</v>
      </c>
      <c r="C307" s="35">
        <v>22</v>
      </c>
      <c r="D307" s="8">
        <f>B307*C307</f>
        <v>419.15347370451394</v>
      </c>
      <c r="H307" s="3"/>
    </row>
    <row r="309" spans="1:8" ht="24" customHeight="1" x14ac:dyDescent="0.25">
      <c r="A309" s="310" t="s">
        <v>131</v>
      </c>
      <c r="B309" s="310"/>
      <c r="C309" s="310"/>
      <c r="D309" s="310"/>
      <c r="E309" s="310"/>
      <c r="F309" s="310"/>
      <c r="G309" s="310"/>
      <c r="H309" s="310"/>
    </row>
    <row r="311" spans="1:8" ht="24" customHeight="1" x14ac:dyDescent="0.25">
      <c r="A311" s="312" t="s">
        <v>131</v>
      </c>
      <c r="B311" s="312"/>
      <c r="C311" s="312"/>
      <c r="D311" s="312"/>
    </row>
    <row r="312" spans="1:8" ht="24" customHeight="1" x14ac:dyDescent="0.25">
      <c r="A312" s="47" t="s">
        <v>11</v>
      </c>
      <c r="B312" s="48" t="s">
        <v>174</v>
      </c>
      <c r="C312" s="48" t="s">
        <v>175</v>
      </c>
      <c r="D312" s="50" t="s">
        <v>41</v>
      </c>
    </row>
    <row r="313" spans="1:8" ht="24" customHeight="1" x14ac:dyDescent="0.25">
      <c r="A313" s="12" t="s">
        <v>19</v>
      </c>
      <c r="B313" s="13" t="e">
        <f t="shared" ref="B313:B318" si="10">E287</f>
        <v>#REF!</v>
      </c>
      <c r="C313" s="13" t="e">
        <f>D305</f>
        <v>#REF!</v>
      </c>
      <c r="D313" s="20" t="e">
        <f t="shared" ref="D313:D318" si="11">B313+C313</f>
        <v>#REF!</v>
      </c>
    </row>
    <row r="314" spans="1:8" ht="24" customHeight="1" x14ac:dyDescent="0.25">
      <c r="A314" s="21" t="s">
        <v>20</v>
      </c>
      <c r="B314" s="22" t="e">
        <f t="shared" si="10"/>
        <v>#REF!</v>
      </c>
      <c r="C314" s="22" t="e">
        <f>D306</f>
        <v>#REF!</v>
      </c>
      <c r="D314" s="24" t="e">
        <f t="shared" si="11"/>
        <v>#REF!</v>
      </c>
    </row>
    <row r="315" spans="1:8" ht="24" customHeight="1" x14ac:dyDescent="0.25">
      <c r="A315" s="25" t="s">
        <v>35</v>
      </c>
      <c r="B315" s="26">
        <f t="shared" si="10"/>
        <v>252.79994513761588</v>
      </c>
      <c r="C315" s="26">
        <f>D307</f>
        <v>419.15347370451394</v>
      </c>
      <c r="D315" s="28">
        <f t="shared" si="11"/>
        <v>671.95341884212985</v>
      </c>
    </row>
    <row r="316" spans="1:8" ht="24" customHeight="1" x14ac:dyDescent="0.25">
      <c r="A316" s="12" t="s">
        <v>22</v>
      </c>
      <c r="B316" s="13" t="e">
        <f t="shared" si="10"/>
        <v>#REF!</v>
      </c>
      <c r="C316" s="31"/>
      <c r="D316" s="20" t="e">
        <f t="shared" si="11"/>
        <v>#REF!</v>
      </c>
    </row>
    <row r="317" spans="1:8" ht="24" customHeight="1" x14ac:dyDescent="0.25">
      <c r="A317" s="21" t="s">
        <v>23</v>
      </c>
      <c r="B317" s="22" t="e">
        <f t="shared" si="10"/>
        <v>#REF!</v>
      </c>
      <c r="C317" s="33"/>
      <c r="D317" s="24" t="e">
        <f t="shared" si="11"/>
        <v>#REF!</v>
      </c>
    </row>
    <row r="318" spans="1:8" ht="24" customHeight="1" x14ac:dyDescent="0.25">
      <c r="A318" s="7" t="s">
        <v>24</v>
      </c>
      <c r="B318" s="16" t="e">
        <f t="shared" si="10"/>
        <v>#REF!</v>
      </c>
      <c r="C318" s="35"/>
      <c r="D318" s="8" t="e">
        <f t="shared" si="11"/>
        <v>#REF!</v>
      </c>
    </row>
    <row r="320" spans="1:8" ht="24" customHeight="1" x14ac:dyDescent="0.25">
      <c r="A320" s="310" t="s">
        <v>176</v>
      </c>
      <c r="B320" s="310"/>
      <c r="C320" s="310"/>
      <c r="D320" s="310"/>
      <c r="E320" s="310"/>
      <c r="F320" s="310"/>
      <c r="G320" s="310"/>
      <c r="H320" s="310"/>
    </row>
    <row r="321" spans="1:5" ht="24" customHeight="1" x14ac:dyDescent="0.25">
      <c r="A321" s="3"/>
      <c r="B321" s="3"/>
      <c r="C321" s="3"/>
      <c r="E321" s="3"/>
    </row>
    <row r="322" spans="1:5" ht="24" customHeight="1" x14ac:dyDescent="0.25">
      <c r="A322" s="324" t="s">
        <v>177</v>
      </c>
      <c r="B322" s="324"/>
      <c r="C322" s="324"/>
      <c r="D322" s="324"/>
      <c r="E322" s="116"/>
    </row>
    <row r="323" spans="1:5" ht="24" customHeight="1" x14ac:dyDescent="0.25">
      <c r="A323" s="115" t="s">
        <v>178</v>
      </c>
      <c r="B323" s="117" t="s">
        <v>179</v>
      </c>
      <c r="C323" s="117" t="s">
        <v>180</v>
      </c>
      <c r="D323" s="4" t="s">
        <v>18</v>
      </c>
    </row>
    <row r="324" spans="1:5" ht="24" customHeight="1" x14ac:dyDescent="0.25">
      <c r="A324" s="5" t="s">
        <v>181</v>
      </c>
      <c r="B324" s="118"/>
      <c r="C324" s="119"/>
      <c r="D324" s="120"/>
    </row>
    <row r="325" spans="1:5" ht="24" customHeight="1" x14ac:dyDescent="0.25">
      <c r="A325" s="21" t="s">
        <v>182</v>
      </c>
      <c r="B325" s="121"/>
      <c r="C325" s="122"/>
      <c r="D325" s="123"/>
    </row>
    <row r="326" spans="1:5" ht="24" customHeight="1" x14ac:dyDescent="0.25">
      <c r="A326" s="21" t="s">
        <v>183</v>
      </c>
      <c r="B326" s="121"/>
      <c r="C326" s="122"/>
      <c r="D326" s="123"/>
    </row>
    <row r="327" spans="1:5" ht="24" customHeight="1" x14ac:dyDescent="0.25">
      <c r="A327" s="21" t="s">
        <v>184</v>
      </c>
      <c r="B327" s="121"/>
      <c r="C327" s="122"/>
      <c r="D327" s="123"/>
    </row>
    <row r="328" spans="1:5" ht="24" customHeight="1" x14ac:dyDescent="0.25">
      <c r="A328" s="21"/>
      <c r="B328" s="121"/>
      <c r="C328" s="122"/>
      <c r="D328" s="123"/>
    </row>
    <row r="329" spans="1:5" ht="24" customHeight="1" x14ac:dyDescent="0.25">
      <c r="A329" s="21"/>
      <c r="B329" s="121"/>
      <c r="C329" s="122"/>
      <c r="D329" s="123"/>
    </row>
    <row r="330" spans="1:5" ht="24" customHeight="1" x14ac:dyDescent="0.25">
      <c r="A330" s="21"/>
      <c r="B330" s="121"/>
      <c r="C330" s="122"/>
      <c r="D330" s="123"/>
    </row>
    <row r="331" spans="1:5" ht="24" customHeight="1" x14ac:dyDescent="0.25">
      <c r="A331" s="21"/>
      <c r="B331" s="121"/>
      <c r="C331" s="122"/>
      <c r="D331" s="123"/>
    </row>
    <row r="332" spans="1:5" ht="24" customHeight="1" x14ac:dyDescent="0.25">
      <c r="A332" s="7"/>
      <c r="B332" s="124"/>
      <c r="C332" s="125"/>
      <c r="D332" s="126"/>
    </row>
    <row r="333" spans="1:5" ht="24" customHeight="1" x14ac:dyDescent="0.25">
      <c r="A333" s="324" t="s">
        <v>185</v>
      </c>
      <c r="B333" s="324"/>
      <c r="C333" s="324"/>
      <c r="D333" s="127"/>
    </row>
    <row r="334" spans="1:5" ht="24" customHeight="1" x14ac:dyDescent="0.25">
      <c r="A334" s="128"/>
      <c r="B334" s="129"/>
      <c r="C334" s="129"/>
      <c r="D334" s="129"/>
      <c r="E334" s="130"/>
    </row>
    <row r="335" spans="1:5" ht="24" customHeight="1" x14ac:dyDescent="0.25">
      <c r="A335" s="324" t="s">
        <v>186</v>
      </c>
      <c r="B335" s="324"/>
      <c r="C335" s="324"/>
      <c r="D335" s="131"/>
      <c r="E335" s="131"/>
    </row>
    <row r="336" spans="1:5" ht="24" customHeight="1" x14ac:dyDescent="0.25">
      <c r="A336" s="132" t="s">
        <v>11</v>
      </c>
      <c r="B336" s="133" t="s">
        <v>166</v>
      </c>
      <c r="C336" s="134" t="s">
        <v>187</v>
      </c>
      <c r="D336" s="131"/>
      <c r="E336" s="131"/>
    </row>
    <row r="337" spans="1:11" ht="24" customHeight="1" x14ac:dyDescent="0.25">
      <c r="A337" s="12" t="s">
        <v>19</v>
      </c>
      <c r="B337" s="135"/>
      <c r="C337" s="136"/>
      <c r="D337" s="129"/>
      <c r="E337" s="128"/>
    </row>
    <row r="338" spans="1:11" ht="24" customHeight="1" x14ac:dyDescent="0.25">
      <c r="A338" s="21" t="s">
        <v>20</v>
      </c>
      <c r="B338" s="137"/>
      <c r="C338" s="138"/>
      <c r="D338" s="129"/>
      <c r="E338" s="128"/>
    </row>
    <row r="339" spans="1:11" ht="24" customHeight="1" x14ac:dyDescent="0.25">
      <c r="A339" s="25" t="s">
        <v>35</v>
      </c>
      <c r="B339" s="139"/>
      <c r="C339" s="140"/>
      <c r="D339" s="129"/>
      <c r="E339" s="128"/>
    </row>
    <row r="340" spans="1:11" ht="24" customHeight="1" x14ac:dyDescent="0.25">
      <c r="A340" s="12" t="s">
        <v>22</v>
      </c>
      <c r="B340" s="141"/>
      <c r="C340" s="142"/>
      <c r="D340" s="129"/>
      <c r="E340" s="128"/>
    </row>
    <row r="341" spans="1:11" ht="24" customHeight="1" x14ac:dyDescent="0.25">
      <c r="A341" s="21" t="s">
        <v>23</v>
      </c>
      <c r="B341" s="137"/>
      <c r="C341" s="138"/>
      <c r="D341" s="129"/>
      <c r="E341" s="128"/>
    </row>
    <row r="342" spans="1:11" ht="24" customHeight="1" x14ac:dyDescent="0.25">
      <c r="A342" s="7" t="s">
        <v>24</v>
      </c>
      <c r="B342" s="139"/>
      <c r="C342" s="140"/>
      <c r="D342" s="129"/>
      <c r="E342" s="128"/>
    </row>
    <row r="343" spans="1:11" ht="24" customHeight="1" x14ac:dyDescent="0.25">
      <c r="A343" s="128"/>
      <c r="B343" s="129"/>
      <c r="C343" s="129"/>
      <c r="D343" s="129"/>
      <c r="E343" s="128"/>
    </row>
    <row r="344" spans="1:11" ht="24" customHeight="1" x14ac:dyDescent="0.25">
      <c r="A344" s="323" t="s">
        <v>188</v>
      </c>
      <c r="B344" s="323"/>
      <c r="C344" s="323"/>
      <c r="D344" s="323"/>
      <c r="E344" s="323"/>
      <c r="F344" s="323"/>
    </row>
    <row r="345" spans="1:11" ht="41.25" customHeight="1" x14ac:dyDescent="0.25">
      <c r="A345" s="37" t="s">
        <v>189</v>
      </c>
      <c r="B345" s="38" t="s">
        <v>190</v>
      </c>
      <c r="C345" s="39" t="s">
        <v>179</v>
      </c>
      <c r="D345" s="39" t="s">
        <v>191</v>
      </c>
      <c r="E345" s="39" t="s">
        <v>192</v>
      </c>
      <c r="F345" s="40" t="s">
        <v>193</v>
      </c>
    </row>
    <row r="346" spans="1:11" ht="24" customHeight="1" x14ac:dyDescent="0.25">
      <c r="A346" s="5"/>
      <c r="B346" s="143"/>
      <c r="C346" s="144"/>
      <c r="D346" s="145"/>
      <c r="E346" s="141"/>
      <c r="F346" s="146"/>
    </row>
    <row r="347" spans="1:11" ht="24" customHeight="1" x14ac:dyDescent="0.25">
      <c r="A347" s="21"/>
      <c r="B347" s="147"/>
      <c r="C347" s="148"/>
      <c r="D347" s="149"/>
      <c r="E347" s="137"/>
      <c r="F347" s="150"/>
    </row>
    <row r="348" spans="1:11" ht="24" customHeight="1" x14ac:dyDescent="0.25">
      <c r="A348" s="21"/>
      <c r="B348" s="147"/>
      <c r="C348" s="148"/>
      <c r="D348" s="149"/>
      <c r="E348" s="137"/>
      <c r="F348" s="151"/>
      <c r="G348" s="3"/>
      <c r="H348" s="3"/>
      <c r="I348" s="3"/>
      <c r="J348" s="3"/>
      <c r="K348" s="3"/>
    </row>
    <row r="349" spans="1:11" ht="24" customHeight="1" x14ac:dyDescent="0.25">
      <c r="A349" s="21"/>
      <c r="B349" s="147"/>
      <c r="C349" s="148"/>
      <c r="D349" s="149"/>
      <c r="E349" s="137"/>
      <c r="F349" s="150"/>
    </row>
    <row r="350" spans="1:11" ht="24" customHeight="1" x14ac:dyDescent="0.25">
      <c r="A350" s="21"/>
      <c r="B350" s="147"/>
      <c r="C350" s="148"/>
      <c r="D350" s="149"/>
      <c r="E350" s="137"/>
      <c r="F350" s="150"/>
    </row>
    <row r="351" spans="1:11" ht="24" customHeight="1" x14ac:dyDescent="0.25">
      <c r="A351" s="21"/>
      <c r="B351" s="147"/>
      <c r="C351" s="148"/>
      <c r="D351" s="149"/>
      <c r="E351" s="137"/>
      <c r="F351" s="150"/>
    </row>
    <row r="352" spans="1:11" ht="24" customHeight="1" x14ac:dyDescent="0.25">
      <c r="A352" s="21"/>
      <c r="B352" s="147"/>
      <c r="C352" s="148"/>
      <c r="D352" s="149"/>
      <c r="E352" s="137"/>
      <c r="F352" s="150"/>
    </row>
    <row r="353" spans="1:6" ht="24" customHeight="1" x14ac:dyDescent="0.25">
      <c r="A353" s="21"/>
      <c r="B353" s="147"/>
      <c r="C353" s="148"/>
      <c r="D353" s="149"/>
      <c r="E353" s="137"/>
      <c r="F353" s="150"/>
    </row>
    <row r="354" spans="1:6" ht="24" customHeight="1" x14ac:dyDescent="0.25">
      <c r="A354" s="21"/>
      <c r="B354" s="147"/>
      <c r="C354" s="148"/>
      <c r="D354" s="149"/>
      <c r="E354" s="137"/>
      <c r="F354" s="150"/>
    </row>
    <row r="355" spans="1:6" ht="24" customHeight="1" x14ac:dyDescent="0.25">
      <c r="A355" s="21"/>
      <c r="B355" s="147"/>
      <c r="C355" s="148"/>
      <c r="D355" s="149"/>
      <c r="E355" s="137"/>
      <c r="F355" s="150"/>
    </row>
    <row r="356" spans="1:6" ht="24" customHeight="1" x14ac:dyDescent="0.25">
      <c r="A356" s="152"/>
      <c r="B356" s="147"/>
      <c r="C356" s="109"/>
      <c r="D356" s="153"/>
      <c r="E356" s="137"/>
      <c r="F356" s="150"/>
    </row>
    <row r="357" spans="1:6" ht="24" customHeight="1" x14ac:dyDescent="0.25">
      <c r="A357" s="21"/>
      <c r="B357" s="147"/>
      <c r="C357" s="148"/>
      <c r="D357" s="149"/>
      <c r="E357" s="137"/>
      <c r="F357" s="150"/>
    </row>
    <row r="358" spans="1:6" ht="24" customHeight="1" x14ac:dyDescent="0.25">
      <c r="A358" s="21"/>
      <c r="B358" s="147"/>
      <c r="C358" s="148"/>
      <c r="D358" s="149"/>
      <c r="E358" s="137"/>
      <c r="F358" s="150"/>
    </row>
    <row r="359" spans="1:6" ht="24" customHeight="1" x14ac:dyDescent="0.25">
      <c r="A359" s="7"/>
      <c r="B359" s="154"/>
      <c r="C359" s="155"/>
      <c r="D359" s="156"/>
      <c r="E359" s="139"/>
      <c r="F359" s="157"/>
    </row>
    <row r="360" spans="1:6" ht="24" customHeight="1" x14ac:dyDescent="0.25">
      <c r="A360" s="325" t="s">
        <v>194</v>
      </c>
      <c r="B360" s="325"/>
      <c r="C360" s="325"/>
      <c r="D360" s="325"/>
      <c r="E360" s="158"/>
      <c r="F360" s="159"/>
    </row>
    <row r="361" spans="1:6" ht="24" customHeight="1" x14ac:dyDescent="0.25">
      <c r="A361" s="128"/>
      <c r="B361" s="129"/>
      <c r="C361" s="129"/>
      <c r="D361" s="129"/>
      <c r="E361" s="128"/>
    </row>
    <row r="362" spans="1:6" ht="24" customHeight="1" x14ac:dyDescent="0.25">
      <c r="A362" s="324" t="s">
        <v>195</v>
      </c>
      <c r="B362" s="324"/>
      <c r="C362" s="324"/>
      <c r="D362" s="324"/>
    </row>
    <row r="363" spans="1:6" ht="27.75" customHeight="1" x14ac:dyDescent="0.25">
      <c r="A363" s="160" t="s">
        <v>11</v>
      </c>
      <c r="B363" s="161" t="s">
        <v>166</v>
      </c>
      <c r="C363" s="161" t="s">
        <v>167</v>
      </c>
      <c r="D363" s="162" t="s">
        <v>196</v>
      </c>
    </row>
    <row r="364" spans="1:6" ht="24" customHeight="1" x14ac:dyDescent="0.25">
      <c r="A364" s="12" t="s">
        <v>19</v>
      </c>
      <c r="B364" s="135"/>
      <c r="C364" s="135"/>
      <c r="D364" s="163"/>
    </row>
    <row r="365" spans="1:6" ht="24" customHeight="1" x14ac:dyDescent="0.25">
      <c r="A365" s="21" t="s">
        <v>20</v>
      </c>
      <c r="B365" s="137"/>
      <c r="C365" s="137"/>
      <c r="D365" s="164"/>
    </row>
    <row r="366" spans="1:6" ht="24" customHeight="1" x14ac:dyDescent="0.25">
      <c r="A366" s="25" t="s">
        <v>35</v>
      </c>
      <c r="B366" s="165"/>
      <c r="C366" s="165"/>
      <c r="D366" s="166"/>
    </row>
    <row r="367" spans="1:6" ht="24" customHeight="1" x14ac:dyDescent="0.25">
      <c r="A367" s="12" t="s">
        <v>22</v>
      </c>
      <c r="B367" s="135"/>
      <c r="C367" s="135"/>
      <c r="D367" s="163"/>
    </row>
    <row r="368" spans="1:6" ht="24" customHeight="1" x14ac:dyDescent="0.25">
      <c r="A368" s="21" t="s">
        <v>23</v>
      </c>
      <c r="B368" s="137"/>
      <c r="C368" s="137"/>
      <c r="D368" s="164"/>
    </row>
    <row r="369" spans="1:8" ht="24" customHeight="1" x14ac:dyDescent="0.25">
      <c r="A369" s="7" t="s">
        <v>24</v>
      </c>
      <c r="B369" s="139"/>
      <c r="C369" s="139"/>
      <c r="D369" s="167"/>
    </row>
    <row r="371" spans="1:8" ht="24" customHeight="1" x14ac:dyDescent="0.25">
      <c r="A371" s="326" t="s">
        <v>176</v>
      </c>
      <c r="B371" s="326"/>
      <c r="C371" s="326"/>
      <c r="D371" s="326"/>
    </row>
    <row r="372" spans="1:8" ht="39.75" customHeight="1" x14ac:dyDescent="0.25">
      <c r="A372" s="132" t="s">
        <v>11</v>
      </c>
      <c r="B372" s="168" t="s">
        <v>197</v>
      </c>
      <c r="C372" s="168" t="s">
        <v>198</v>
      </c>
      <c r="D372" s="134" t="s">
        <v>18</v>
      </c>
    </row>
    <row r="373" spans="1:8" ht="24" customHeight="1" x14ac:dyDescent="0.25">
      <c r="A373" s="12" t="s">
        <v>19</v>
      </c>
      <c r="B373" s="169">
        <f t="shared" ref="B373:B378" si="12">C337</f>
        <v>0</v>
      </c>
      <c r="C373" s="169">
        <f t="shared" ref="C373:C378" si="13">D364</f>
        <v>0</v>
      </c>
      <c r="D373" s="163">
        <f t="shared" ref="D373:D378" si="14">SUM(B373:C373)</f>
        <v>0</v>
      </c>
    </row>
    <row r="374" spans="1:8" ht="24" customHeight="1" x14ac:dyDescent="0.25">
      <c r="A374" s="21" t="s">
        <v>20</v>
      </c>
      <c r="B374" s="170">
        <f t="shared" si="12"/>
        <v>0</v>
      </c>
      <c r="C374" s="170">
        <f t="shared" si="13"/>
        <v>0</v>
      </c>
      <c r="D374" s="164">
        <f t="shared" si="14"/>
        <v>0</v>
      </c>
    </row>
    <row r="375" spans="1:8" ht="24" customHeight="1" x14ac:dyDescent="0.25">
      <c r="A375" s="25" t="s">
        <v>35</v>
      </c>
      <c r="B375" s="171">
        <f t="shared" si="12"/>
        <v>0</v>
      </c>
      <c r="C375" s="171">
        <f t="shared" si="13"/>
        <v>0</v>
      </c>
      <c r="D375" s="166">
        <f t="shared" si="14"/>
        <v>0</v>
      </c>
    </row>
    <row r="376" spans="1:8" ht="24" customHeight="1" x14ac:dyDescent="0.25">
      <c r="A376" s="12" t="s">
        <v>22</v>
      </c>
      <c r="B376" s="169">
        <f t="shared" si="12"/>
        <v>0</v>
      </c>
      <c r="C376" s="169">
        <f t="shared" si="13"/>
        <v>0</v>
      </c>
      <c r="D376" s="163">
        <f t="shared" si="14"/>
        <v>0</v>
      </c>
    </row>
    <row r="377" spans="1:8" ht="24" customHeight="1" x14ac:dyDescent="0.25">
      <c r="A377" s="21" t="s">
        <v>23</v>
      </c>
      <c r="B377" s="170">
        <f t="shared" si="12"/>
        <v>0</v>
      </c>
      <c r="C377" s="170">
        <f t="shared" si="13"/>
        <v>0</v>
      </c>
      <c r="D377" s="164">
        <f t="shared" si="14"/>
        <v>0</v>
      </c>
    </row>
    <row r="378" spans="1:8" ht="24" customHeight="1" x14ac:dyDescent="0.25">
      <c r="A378" s="7" t="s">
        <v>24</v>
      </c>
      <c r="B378" s="172">
        <f t="shared" si="12"/>
        <v>0</v>
      </c>
      <c r="C378" s="172">
        <f t="shared" si="13"/>
        <v>0</v>
      </c>
      <c r="D378" s="167">
        <f t="shared" si="14"/>
        <v>0</v>
      </c>
      <c r="H378" s="3"/>
    </row>
    <row r="380" spans="1:8" ht="24" customHeight="1" x14ac:dyDescent="0.25">
      <c r="A380" s="310" t="s">
        <v>199</v>
      </c>
      <c r="B380" s="310"/>
      <c r="C380" s="310"/>
      <c r="D380" s="310"/>
      <c r="E380" s="310"/>
      <c r="F380" s="310"/>
      <c r="G380" s="310"/>
      <c r="H380" s="310"/>
    </row>
    <row r="381" spans="1:8" ht="24" customHeight="1" x14ac:dyDescent="0.25">
      <c r="A381" s="327"/>
      <c r="B381" s="327"/>
      <c r="C381" s="327"/>
      <c r="D381" s="327"/>
      <c r="E381" s="327"/>
      <c r="F381" s="327"/>
    </row>
    <row r="382" spans="1:8" ht="49.5" customHeight="1" x14ac:dyDescent="0.25">
      <c r="A382" s="328" t="s">
        <v>200</v>
      </c>
      <c r="B382" s="328"/>
      <c r="C382" s="46"/>
      <c r="D382" s="46"/>
      <c r="E382" s="46"/>
      <c r="F382" s="46"/>
    </row>
    <row r="383" spans="1:8" ht="24" customHeight="1" x14ac:dyDescent="0.25">
      <c r="A383" s="152" t="s">
        <v>201</v>
      </c>
      <c r="B383" s="173"/>
      <c r="C383" s="46"/>
      <c r="D383" s="46"/>
      <c r="E383" s="46"/>
      <c r="F383" s="46"/>
    </row>
    <row r="384" spans="1:8" ht="24" customHeight="1" x14ac:dyDescent="0.25">
      <c r="A384" s="152" t="s">
        <v>202</v>
      </c>
      <c r="B384" s="173"/>
      <c r="C384" s="46"/>
      <c r="D384" s="46"/>
      <c r="E384" s="46"/>
      <c r="F384" s="46"/>
    </row>
    <row r="385" spans="1:8" ht="24" customHeight="1" x14ac:dyDescent="0.25">
      <c r="A385" s="174" t="s">
        <v>203</v>
      </c>
      <c r="B385" s="175"/>
      <c r="C385" s="46"/>
      <c r="D385" s="46"/>
      <c r="E385" s="46"/>
      <c r="F385" s="46"/>
    </row>
    <row r="387" spans="1:8" ht="24" customHeight="1" x14ac:dyDescent="0.25">
      <c r="A387" s="312" t="s">
        <v>199</v>
      </c>
      <c r="B387" s="312"/>
      <c r="C387" s="312"/>
      <c r="D387" s="312"/>
    </row>
    <row r="388" spans="1:8" ht="24" customHeight="1" x14ac:dyDescent="0.25">
      <c r="A388" s="47" t="s">
        <v>11</v>
      </c>
      <c r="B388" s="48" t="s">
        <v>12</v>
      </c>
      <c r="C388" s="48" t="s">
        <v>13</v>
      </c>
      <c r="D388" s="50" t="s">
        <v>18</v>
      </c>
    </row>
    <row r="389" spans="1:8" ht="24" customHeight="1" x14ac:dyDescent="0.25">
      <c r="A389" s="12" t="s">
        <v>19</v>
      </c>
      <c r="B389" s="176" t="e">
        <f>#REF!+#REF!+#REF!+D313+D373</f>
        <v>#REF!</v>
      </c>
      <c r="C389" s="14">
        <f t="shared" ref="C389:C394" si="15">((1+$B$383)/(1-$B$384-$B$385))-1</f>
        <v>0</v>
      </c>
      <c r="D389" s="20" t="e">
        <f t="shared" ref="D389:D394" si="16">B389*C389</f>
        <v>#REF!</v>
      </c>
    </row>
    <row r="390" spans="1:8" ht="24" customHeight="1" x14ac:dyDescent="0.25">
      <c r="A390" s="21" t="s">
        <v>20</v>
      </c>
      <c r="B390" s="177" t="e">
        <f>#REF!+#REF!+#REF!+D314+D374</f>
        <v>#REF!</v>
      </c>
      <c r="C390" s="178">
        <f t="shared" si="15"/>
        <v>0</v>
      </c>
      <c r="D390" s="24" t="e">
        <f t="shared" si="16"/>
        <v>#REF!</v>
      </c>
    </row>
    <row r="391" spans="1:8" ht="24" customHeight="1" x14ac:dyDescent="0.25">
      <c r="A391" s="25" t="s">
        <v>35</v>
      </c>
      <c r="B391" s="179">
        <f>G70+E175+E234+D315+D375</f>
        <v>4863.4881558872694</v>
      </c>
      <c r="C391" s="180">
        <f t="shared" si="15"/>
        <v>0</v>
      </c>
      <c r="D391" s="28">
        <f t="shared" si="16"/>
        <v>0</v>
      </c>
    </row>
    <row r="392" spans="1:8" ht="24" customHeight="1" x14ac:dyDescent="0.25">
      <c r="A392" s="12" t="s">
        <v>22</v>
      </c>
      <c r="B392" s="176" t="e">
        <f>#REF!+#REF!+#REF!+D316+D376</f>
        <v>#REF!</v>
      </c>
      <c r="C392" s="14">
        <f t="shared" si="15"/>
        <v>0</v>
      </c>
      <c r="D392" s="20" t="e">
        <f t="shared" si="16"/>
        <v>#REF!</v>
      </c>
    </row>
    <row r="393" spans="1:8" ht="24" customHeight="1" x14ac:dyDescent="0.25">
      <c r="A393" s="21" t="s">
        <v>23</v>
      </c>
      <c r="B393" s="177" t="e">
        <f>#REF!+#REF!+#REF!+D317+D377</f>
        <v>#REF!</v>
      </c>
      <c r="C393" s="178">
        <f t="shared" si="15"/>
        <v>0</v>
      </c>
      <c r="D393" s="24" t="e">
        <f t="shared" si="16"/>
        <v>#REF!</v>
      </c>
    </row>
    <row r="394" spans="1:8" ht="24" customHeight="1" x14ac:dyDescent="0.25">
      <c r="A394" s="7" t="s">
        <v>24</v>
      </c>
      <c r="B394" s="181" t="e">
        <f>#REF!+#REF!+#REF!+D318+D378</f>
        <v>#REF!</v>
      </c>
      <c r="C394" s="17">
        <f t="shared" si="15"/>
        <v>0</v>
      </c>
      <c r="D394" s="8" t="e">
        <f t="shared" si="16"/>
        <v>#REF!</v>
      </c>
      <c r="H394" s="3"/>
    </row>
    <row r="396" spans="1:8" ht="24" customHeight="1" x14ac:dyDescent="0.25">
      <c r="A396" s="310" t="s">
        <v>204</v>
      </c>
      <c r="B396" s="310"/>
      <c r="C396" s="310"/>
      <c r="D396" s="310"/>
      <c r="E396" s="310"/>
      <c r="F396" s="310"/>
      <c r="G396" s="310"/>
      <c r="H396" s="310"/>
    </row>
    <row r="397" spans="1:8" ht="51" customHeight="1" x14ac:dyDescent="0.25">
      <c r="A397" s="309" t="s">
        <v>205</v>
      </c>
      <c r="B397" s="309"/>
      <c r="C397" s="309"/>
      <c r="D397" s="309"/>
      <c r="E397" s="309"/>
      <c r="F397" s="309"/>
    </row>
    <row r="399" spans="1:8" ht="24" customHeight="1" x14ac:dyDescent="0.25">
      <c r="A399" s="312" t="s">
        <v>206</v>
      </c>
      <c r="B399" s="312"/>
      <c r="C399" s="312"/>
      <c r="D399" s="312"/>
    </row>
    <row r="400" spans="1:8" ht="24" customHeight="1" x14ac:dyDescent="0.25">
      <c r="A400" s="9" t="s">
        <v>11</v>
      </c>
      <c r="B400" s="10" t="s">
        <v>12</v>
      </c>
      <c r="C400" s="10" t="s">
        <v>207</v>
      </c>
      <c r="D400" s="11" t="s">
        <v>18</v>
      </c>
    </row>
    <row r="401" spans="1:8" ht="24" customHeight="1" x14ac:dyDescent="0.25">
      <c r="A401" s="12" t="s">
        <v>22</v>
      </c>
      <c r="B401" s="13" t="e">
        <f>#REF!+#REF!+#REF!+D316+D376+D392</f>
        <v>#REF!</v>
      </c>
      <c r="C401" s="31">
        <v>40</v>
      </c>
      <c r="D401" s="20" t="e">
        <f>B401/C401</f>
        <v>#REF!</v>
      </c>
    </row>
    <row r="402" spans="1:8" ht="24" customHeight="1" x14ac:dyDescent="0.25">
      <c r="A402" s="21" t="s">
        <v>23</v>
      </c>
      <c r="B402" s="22" t="e">
        <f>#REF!+#REF!+#REF!+D317+D377+D393</f>
        <v>#REF!</v>
      </c>
      <c r="C402" s="33">
        <f>C401</f>
        <v>40</v>
      </c>
      <c r="D402" s="24" t="e">
        <f>B402/C402</f>
        <v>#REF!</v>
      </c>
    </row>
    <row r="403" spans="1:8" ht="24" customHeight="1" x14ac:dyDescent="0.25">
      <c r="A403" s="7" t="s">
        <v>24</v>
      </c>
      <c r="B403" s="16" t="e">
        <f>#REF!+#REF!+#REF!+D318+D378+D394</f>
        <v>#REF!</v>
      </c>
      <c r="C403" s="35">
        <f>C402</f>
        <v>40</v>
      </c>
      <c r="D403" s="8" t="e">
        <f>B403/C403</f>
        <v>#REF!</v>
      </c>
      <c r="H403" s="3"/>
    </row>
    <row r="405" spans="1:8" ht="24" customHeight="1" x14ac:dyDescent="0.25">
      <c r="A405" s="310" t="s">
        <v>208</v>
      </c>
      <c r="B405" s="310"/>
      <c r="C405" s="310"/>
      <c r="D405" s="310"/>
      <c r="E405" s="310"/>
      <c r="F405" s="310"/>
      <c r="G405" s="310"/>
      <c r="H405" s="310"/>
    </row>
    <row r="407" spans="1:8" ht="24" customHeight="1" x14ac:dyDescent="0.25">
      <c r="A407" s="323" t="s">
        <v>209</v>
      </c>
      <c r="B407" s="323"/>
      <c r="C407" s="323"/>
      <c r="D407" s="323"/>
    </row>
    <row r="408" spans="1:8" ht="24" customHeight="1" x14ac:dyDescent="0.25">
      <c r="A408" s="182" t="s">
        <v>210</v>
      </c>
      <c r="B408" s="10" t="s">
        <v>211</v>
      </c>
      <c r="C408" s="10" t="s">
        <v>212</v>
      </c>
      <c r="D408" s="11" t="s">
        <v>213</v>
      </c>
    </row>
    <row r="409" spans="1:8" ht="32.1" customHeight="1" x14ac:dyDescent="0.25">
      <c r="A409" s="83" t="s">
        <v>214</v>
      </c>
      <c r="B409" s="13" t="e">
        <f>#REF!</f>
        <v>#REF!</v>
      </c>
      <c r="C409" s="13" t="e">
        <f>#REF!</f>
        <v>#REF!</v>
      </c>
      <c r="D409" s="15">
        <f>G70</f>
        <v>2008.63</v>
      </c>
    </row>
    <row r="410" spans="1:8" ht="32.1" customHeight="1" x14ac:dyDescent="0.25">
      <c r="A410" s="68" t="s">
        <v>215</v>
      </c>
      <c r="B410" s="22" t="e">
        <f>#REF!</f>
        <v>#REF!</v>
      </c>
      <c r="C410" s="22" t="e">
        <f>#REF!</f>
        <v>#REF!</v>
      </c>
      <c r="D410" s="183">
        <f>E175</f>
        <v>1794.5656658333332</v>
      </c>
    </row>
    <row r="411" spans="1:8" ht="32.1" customHeight="1" x14ac:dyDescent="0.25">
      <c r="A411" s="68" t="s">
        <v>216</v>
      </c>
      <c r="B411" s="22" t="e">
        <f>#REF!</f>
        <v>#REF!</v>
      </c>
      <c r="C411" s="22" t="e">
        <f>#REF!</f>
        <v>#REF!</v>
      </c>
      <c r="D411" s="183">
        <f>E234</f>
        <v>388.33907121180562</v>
      </c>
    </row>
    <row r="412" spans="1:8" ht="32.1" customHeight="1" x14ac:dyDescent="0.25">
      <c r="A412" s="68" t="s">
        <v>217</v>
      </c>
      <c r="B412" s="22" t="e">
        <f>D313</f>
        <v>#REF!</v>
      </c>
      <c r="C412" s="22" t="e">
        <f>D314</f>
        <v>#REF!</v>
      </c>
      <c r="D412" s="183">
        <f>D315</f>
        <v>671.95341884212985</v>
      </c>
    </row>
    <row r="413" spans="1:8" ht="32.1" customHeight="1" x14ac:dyDescent="0.25">
      <c r="A413" s="68" t="s">
        <v>218</v>
      </c>
      <c r="B413" s="22">
        <f>D373</f>
        <v>0</v>
      </c>
      <c r="C413" s="22">
        <f>D374</f>
        <v>0</v>
      </c>
      <c r="D413" s="183">
        <f>D375</f>
        <v>0</v>
      </c>
    </row>
    <row r="414" spans="1:8" ht="32.1" customHeight="1" x14ac:dyDescent="0.25">
      <c r="A414" s="68" t="s">
        <v>219</v>
      </c>
      <c r="B414" s="22" t="e">
        <f>D389</f>
        <v>#REF!</v>
      </c>
      <c r="C414" s="22" t="e">
        <f>D390</f>
        <v>#REF!</v>
      </c>
      <c r="D414" s="183">
        <f>D391</f>
        <v>0</v>
      </c>
    </row>
    <row r="415" spans="1:8" ht="32.1" customHeight="1" x14ac:dyDescent="0.25">
      <c r="A415" s="68" t="s">
        <v>220</v>
      </c>
      <c r="B415" s="22" t="e">
        <f>D401</f>
        <v>#REF!</v>
      </c>
      <c r="C415" s="22" t="e">
        <f>D402</f>
        <v>#REF!</v>
      </c>
      <c r="D415" s="183" t="e">
        <f>D403</f>
        <v>#REF!</v>
      </c>
    </row>
    <row r="416" spans="1:8" ht="32.1" customHeight="1" x14ac:dyDescent="0.25">
      <c r="A416" s="184" t="s">
        <v>221</v>
      </c>
      <c r="B416" s="185" t="e">
        <f>SUM(B409:B415)</f>
        <v>#REF!</v>
      </c>
      <c r="C416" s="185" t="e">
        <f>SUM(C409:C415)</f>
        <v>#REF!</v>
      </c>
      <c r="D416" s="186" t="e">
        <f>SUM(D409:D415)</f>
        <v>#REF!</v>
      </c>
    </row>
    <row r="417" spans="1:4" ht="32.1" customHeight="1" x14ac:dyDescent="0.25">
      <c r="A417" s="100" t="s">
        <v>222</v>
      </c>
      <c r="B417" s="187" t="e">
        <f>B416*2</f>
        <v>#REF!</v>
      </c>
      <c r="C417" s="187" t="e">
        <f>C416*2</f>
        <v>#REF!</v>
      </c>
      <c r="D417" s="188" t="e">
        <f>D416*1</f>
        <v>#REF!</v>
      </c>
    </row>
    <row r="418" spans="1:4" ht="24" customHeight="1" x14ac:dyDescent="0.25">
      <c r="A418" s="189"/>
    </row>
    <row r="419" spans="1:4" ht="24" customHeight="1" x14ac:dyDescent="0.25">
      <c r="A419" s="189"/>
    </row>
    <row r="420" spans="1:4" ht="24" customHeight="1" x14ac:dyDescent="0.25">
      <c r="A420" s="189"/>
    </row>
    <row r="1048447" ht="12.75" customHeight="1" x14ac:dyDescent="0.25"/>
    <row r="1048448" ht="12.75" customHeight="1" x14ac:dyDescent="0.25"/>
    <row r="1048449" ht="12.75" customHeight="1" x14ac:dyDescent="0.25"/>
    <row r="1048450" ht="12.75" customHeight="1" x14ac:dyDescent="0.25"/>
    <row r="1048451" ht="12.75" customHeight="1" x14ac:dyDescent="0.25"/>
    <row r="1048452" ht="12.75" customHeight="1" x14ac:dyDescent="0.25"/>
    <row r="1048453" ht="12.75" customHeight="1" x14ac:dyDescent="0.25"/>
    <row r="1048454" ht="12.75" customHeight="1" x14ac:dyDescent="0.25"/>
    <row r="1048455" ht="12.75" customHeight="1" x14ac:dyDescent="0.25"/>
    <row r="1048456" ht="12.75" customHeight="1" x14ac:dyDescent="0.25"/>
    <row r="1048457" ht="12.75" customHeight="1" x14ac:dyDescent="0.25"/>
    <row r="1048458" ht="12.75" customHeight="1" x14ac:dyDescent="0.25"/>
    <row r="1048459" ht="12.75" customHeight="1" x14ac:dyDescent="0.25"/>
    <row r="1048460" ht="12.75" customHeight="1" x14ac:dyDescent="0.25"/>
    <row r="1048461" ht="12.75" customHeight="1" x14ac:dyDescent="0.25"/>
    <row r="1048462" ht="12.75" customHeight="1" x14ac:dyDescent="0.25"/>
    <row r="1048463" ht="12.75" customHeight="1" x14ac:dyDescent="0.25"/>
    <row r="1048464" ht="12.75" customHeight="1" x14ac:dyDescent="0.25"/>
    <row r="1048465" ht="12.75" customHeight="1" x14ac:dyDescent="0.25"/>
    <row r="1048466" ht="12.75" customHeight="1" x14ac:dyDescent="0.25"/>
    <row r="1048467" ht="12.75" customHeight="1" x14ac:dyDescent="0.25"/>
    <row r="1048468" ht="12.75" customHeight="1" x14ac:dyDescent="0.25"/>
    <row r="1048469" ht="12.75" customHeight="1" x14ac:dyDescent="0.25"/>
    <row r="1048470" ht="12.75" customHeight="1" x14ac:dyDescent="0.25"/>
    <row r="1048471" ht="12.75" customHeight="1" x14ac:dyDescent="0.25"/>
    <row r="1048472" ht="12.75" customHeight="1" x14ac:dyDescent="0.25"/>
    <row r="1048473" ht="12.75" customHeight="1" x14ac:dyDescent="0.25"/>
    <row r="1048474" ht="12.75" customHeight="1" x14ac:dyDescent="0.25"/>
    <row r="1048475" ht="12.75" customHeight="1" x14ac:dyDescent="0.25"/>
    <row r="1048476" ht="12.75" customHeight="1" x14ac:dyDescent="0.25"/>
    <row r="1048477" ht="12.75" customHeight="1" x14ac:dyDescent="0.25"/>
    <row r="1048478" ht="12.75" customHeight="1" x14ac:dyDescent="0.25"/>
    <row r="1048479" ht="12.75" customHeight="1" x14ac:dyDescent="0.25"/>
    <row r="1048480" ht="12.75" customHeight="1" x14ac:dyDescent="0.25"/>
    <row r="1048481" ht="12.75" customHeight="1" x14ac:dyDescent="0.25"/>
    <row r="1048482" ht="12.75" customHeight="1" x14ac:dyDescent="0.25"/>
    <row r="1048483" ht="12.75" customHeight="1" x14ac:dyDescent="0.25"/>
    <row r="1048484" ht="12.75" customHeight="1" x14ac:dyDescent="0.25"/>
    <row r="1048485" ht="12.75" customHeight="1" x14ac:dyDescent="0.25"/>
    <row r="1048486" ht="12.75" customHeight="1" x14ac:dyDescent="0.25"/>
    <row r="1048487" ht="12.75" customHeight="1" x14ac:dyDescent="0.25"/>
    <row r="1048488" ht="12.75" customHeight="1" x14ac:dyDescent="0.25"/>
    <row r="1048489" ht="12.75" customHeight="1" x14ac:dyDescent="0.25"/>
    <row r="1048490" ht="12.75" customHeight="1" x14ac:dyDescent="0.25"/>
    <row r="1048491" ht="12.75" customHeight="1" x14ac:dyDescent="0.25"/>
    <row r="1048492" ht="12.75" customHeight="1" x14ac:dyDescent="0.25"/>
    <row r="1048493" ht="12.75" customHeight="1" x14ac:dyDescent="0.25"/>
    <row r="1048494" ht="12.75" customHeight="1" x14ac:dyDescent="0.25"/>
    <row r="1048495" ht="12.75" customHeight="1" x14ac:dyDescent="0.25"/>
    <row r="1048496" ht="12.75" customHeight="1" x14ac:dyDescent="0.25"/>
    <row r="1048497" ht="12.75" customHeight="1" x14ac:dyDescent="0.25"/>
    <row r="1048498" ht="12.75" customHeight="1" x14ac:dyDescent="0.25"/>
    <row r="1048499" ht="12.75" customHeight="1" x14ac:dyDescent="0.25"/>
    <row r="1048500" ht="12.75" customHeight="1" x14ac:dyDescent="0.25"/>
    <row r="1048501" ht="12.75" customHeight="1" x14ac:dyDescent="0.25"/>
    <row r="1048502" ht="12.75" customHeight="1" x14ac:dyDescent="0.25"/>
    <row r="1048503" ht="12.75" customHeight="1" x14ac:dyDescent="0.25"/>
    <row r="1048504" ht="12.75" customHeight="1" x14ac:dyDescent="0.25"/>
    <row r="1048505" ht="12.75" customHeight="1" x14ac:dyDescent="0.25"/>
    <row r="1048506" ht="12.75" customHeight="1" x14ac:dyDescent="0.25"/>
    <row r="1048507" ht="12.75" customHeight="1" x14ac:dyDescent="0.25"/>
    <row r="1048508" ht="12.75" customHeight="1" x14ac:dyDescent="0.25"/>
    <row r="1048509" ht="12.75" customHeight="1" x14ac:dyDescent="0.25"/>
    <row r="1048510" ht="12.75" customHeight="1" x14ac:dyDescent="0.25"/>
    <row r="1048511" ht="12.75" customHeight="1" x14ac:dyDescent="0.25"/>
    <row r="1048512" ht="12.75" customHeight="1" x14ac:dyDescent="0.25"/>
    <row r="1048513" ht="12.75" customHeight="1" x14ac:dyDescent="0.25"/>
    <row r="1048514" ht="12.75" customHeight="1" x14ac:dyDescent="0.25"/>
    <row r="1048515" ht="12.75" customHeight="1" x14ac:dyDescent="0.25"/>
    <row r="1048516" ht="12.75" customHeight="1" x14ac:dyDescent="0.25"/>
    <row r="1048517" ht="12.75" customHeight="1" x14ac:dyDescent="0.25"/>
    <row r="1048518" ht="12.75" customHeight="1" x14ac:dyDescent="0.25"/>
    <row r="1048519" ht="12.75" customHeight="1" x14ac:dyDescent="0.25"/>
    <row r="1048520" ht="12.75" customHeight="1" x14ac:dyDescent="0.25"/>
    <row r="1048521" ht="12.75" customHeight="1" x14ac:dyDescent="0.25"/>
    <row r="1048522" ht="12.75" customHeight="1" x14ac:dyDescent="0.25"/>
    <row r="1048523" ht="12.75" customHeight="1" x14ac:dyDescent="0.25"/>
    <row r="1048524" ht="12.75" customHeight="1" x14ac:dyDescent="0.25"/>
    <row r="1048525" ht="12.75" customHeight="1" x14ac:dyDescent="0.25"/>
    <row r="1048526" ht="12.75" customHeight="1" x14ac:dyDescent="0.25"/>
    <row r="1048527" ht="12.75" customHeight="1" x14ac:dyDescent="0.25"/>
    <row r="1048528" ht="12.75" customHeight="1" x14ac:dyDescent="0.25"/>
    <row r="1048529" ht="12.75" customHeight="1" x14ac:dyDescent="0.25"/>
    <row r="1048530" ht="12.75" customHeight="1" x14ac:dyDescent="0.25"/>
    <row r="1048531" ht="12.75" customHeight="1" x14ac:dyDescent="0.25"/>
    <row r="1048532" ht="12.75" customHeight="1" x14ac:dyDescent="0.25"/>
    <row r="1048533" ht="12.75" customHeight="1" x14ac:dyDescent="0.25"/>
    <row r="1048534" ht="12.75" customHeight="1" x14ac:dyDescent="0.25"/>
    <row r="1048535" ht="12.75" customHeight="1" x14ac:dyDescent="0.25"/>
    <row r="1048536" ht="12.75" customHeight="1" x14ac:dyDescent="0.25"/>
    <row r="1048537" ht="12.75" customHeight="1" x14ac:dyDescent="0.25"/>
    <row r="1048538" ht="12.75" customHeight="1" x14ac:dyDescent="0.25"/>
    <row r="1048539" ht="12.75" customHeight="1" x14ac:dyDescent="0.25"/>
    <row r="1048540" ht="12.75" customHeight="1" x14ac:dyDescent="0.25"/>
    <row r="1048541" ht="12.75" customHeight="1" x14ac:dyDescent="0.25"/>
    <row r="1048542" ht="12.75" customHeight="1" x14ac:dyDescent="0.25"/>
    <row r="1048543" ht="12.75" customHeight="1" x14ac:dyDescent="0.25"/>
    <row r="1048544" ht="12.75" customHeight="1" x14ac:dyDescent="0.25"/>
    <row r="1048545" ht="12.75" customHeight="1" x14ac:dyDescent="0.25"/>
    <row r="1048546" ht="12.75" customHeight="1" x14ac:dyDescent="0.25"/>
    <row r="1048547" ht="12.75" customHeight="1" x14ac:dyDescent="0.25"/>
    <row r="1048548" ht="12.75" customHeight="1" x14ac:dyDescent="0.25"/>
    <row r="1048549" ht="12.75" customHeight="1" x14ac:dyDescent="0.25"/>
    <row r="1048550" ht="12.75" customHeight="1" x14ac:dyDescent="0.25"/>
    <row r="1048551" ht="12.75" customHeight="1" x14ac:dyDescent="0.25"/>
    <row r="1048552" ht="12.75" customHeight="1" x14ac:dyDescent="0.25"/>
    <row r="1048553" ht="12.75" customHeight="1" x14ac:dyDescent="0.25"/>
    <row r="1048554" ht="12.75" customHeight="1" x14ac:dyDescent="0.25"/>
    <row r="1048555" ht="12.75" customHeight="1" x14ac:dyDescent="0.25"/>
    <row r="1048556" ht="12.75" customHeight="1" x14ac:dyDescent="0.25"/>
    <row r="1048557" ht="12.75" customHeight="1" x14ac:dyDescent="0.25"/>
    <row r="1048558" ht="12.75" customHeight="1" x14ac:dyDescent="0.25"/>
    <row r="1048559" ht="12.75" customHeight="1" x14ac:dyDescent="0.25"/>
    <row r="1048560" ht="12.75" customHeight="1" x14ac:dyDescent="0.25"/>
    <row r="1048561" ht="12.75" customHeight="1" x14ac:dyDescent="0.25"/>
    <row r="1048562" ht="12.75" customHeight="1" x14ac:dyDescent="0.25"/>
    <row r="1048563" ht="12.75" customHeight="1" x14ac:dyDescent="0.25"/>
    <row r="1048564" ht="12.75" customHeight="1" x14ac:dyDescent="0.25"/>
    <row r="1048565" ht="12.75" customHeight="1" x14ac:dyDescent="0.25"/>
    <row r="1048566" ht="12.75" customHeight="1" x14ac:dyDescent="0.25"/>
    <row r="1048567" ht="12.75" customHeight="1" x14ac:dyDescent="0.25"/>
    <row r="1048568" ht="12.75" customHeight="1" x14ac:dyDescent="0.25"/>
    <row r="1048569" ht="12.75" customHeight="1" x14ac:dyDescent="0.25"/>
    <row r="1048570" ht="12.75" customHeight="1" x14ac:dyDescent="0.25"/>
    <row r="1048571" ht="12.75" customHeight="1" x14ac:dyDescent="0.25"/>
    <row r="1048572" ht="12.75" customHeight="1" x14ac:dyDescent="0.25"/>
    <row r="1048573" ht="12.75" customHeight="1" x14ac:dyDescent="0.25"/>
    <row r="1048574" ht="12.75" customHeight="1" x14ac:dyDescent="0.25"/>
    <row r="1048575" ht="12.75" customHeight="1" x14ac:dyDescent="0.25"/>
    <row r="1048576" ht="12.75" customHeight="1" x14ac:dyDescent="0.25"/>
  </sheetData>
  <mergeCells count="113">
    <mergeCell ref="A399:D399"/>
    <mergeCell ref="A405:H405"/>
    <mergeCell ref="A407:D407"/>
    <mergeCell ref="A360:D360"/>
    <mergeCell ref="A362:D362"/>
    <mergeCell ref="A371:D371"/>
    <mergeCell ref="A380:H380"/>
    <mergeCell ref="A381:F381"/>
    <mergeCell ref="A382:B382"/>
    <mergeCell ref="A387:D387"/>
    <mergeCell ref="A396:H396"/>
    <mergeCell ref="A397:F397"/>
    <mergeCell ref="A297:D297"/>
    <mergeCell ref="A303:D303"/>
    <mergeCell ref="A309:H309"/>
    <mergeCell ref="A311:D311"/>
    <mergeCell ref="A320:H320"/>
    <mergeCell ref="A322:D322"/>
    <mergeCell ref="A333:C333"/>
    <mergeCell ref="A335:C335"/>
    <mergeCell ref="A344:F344"/>
    <mergeCell ref="A256:D256"/>
    <mergeCell ref="A257:A258"/>
    <mergeCell ref="B257:D257"/>
    <mergeCell ref="A273:H273"/>
    <mergeCell ref="A274:H274"/>
    <mergeCell ref="A276:D276"/>
    <mergeCell ref="A285:E285"/>
    <mergeCell ref="A294:H294"/>
    <mergeCell ref="A295:H295"/>
    <mergeCell ref="A222:E222"/>
    <mergeCell ref="A226:D226"/>
    <mergeCell ref="A230:H230"/>
    <mergeCell ref="A232:E232"/>
    <mergeCell ref="A236:H236"/>
    <mergeCell ref="A237:H237"/>
    <mergeCell ref="A239:G239"/>
    <mergeCell ref="A240:G240"/>
    <mergeCell ref="A241:A242"/>
    <mergeCell ref="B241:B242"/>
    <mergeCell ref="C241:C242"/>
    <mergeCell ref="A196:D196"/>
    <mergeCell ref="A200:D200"/>
    <mergeCell ref="A204:H204"/>
    <mergeCell ref="A205:H205"/>
    <mergeCell ref="A207:D207"/>
    <mergeCell ref="A211:D211"/>
    <mergeCell ref="A215:D215"/>
    <mergeCell ref="A219:H219"/>
    <mergeCell ref="A220:H220"/>
    <mergeCell ref="A167:F167"/>
    <mergeCell ref="A171:H171"/>
    <mergeCell ref="A173:E173"/>
    <mergeCell ref="A177:H177"/>
    <mergeCell ref="A178:H178"/>
    <mergeCell ref="A180:B180"/>
    <mergeCell ref="A189:H189"/>
    <mergeCell ref="A190:H190"/>
    <mergeCell ref="A192:D192"/>
    <mergeCell ref="A142:D142"/>
    <mergeCell ref="E143:N144"/>
    <mergeCell ref="A146:D146"/>
    <mergeCell ref="A150:H150"/>
    <mergeCell ref="A152:D152"/>
    <mergeCell ref="A153:C153"/>
    <mergeCell ref="A154:C154"/>
    <mergeCell ref="A156:H156"/>
    <mergeCell ref="A158:D158"/>
    <mergeCell ref="A115:D115"/>
    <mergeCell ref="A119:H119"/>
    <mergeCell ref="A120:H120"/>
    <mergeCell ref="A122:F122"/>
    <mergeCell ref="A124:E124"/>
    <mergeCell ref="A128:E128"/>
    <mergeCell ref="A132:D132"/>
    <mergeCell ref="A136:F136"/>
    <mergeCell ref="A138:D138"/>
    <mergeCell ref="A76:D76"/>
    <mergeCell ref="A80:D80"/>
    <mergeCell ref="A84:E84"/>
    <mergeCell ref="A88:E88"/>
    <mergeCell ref="A92:H92"/>
    <mergeCell ref="A93:H93"/>
    <mergeCell ref="A95:B95"/>
    <mergeCell ref="A107:D107"/>
    <mergeCell ref="A111:D111"/>
    <mergeCell ref="A48:D48"/>
    <mergeCell ref="A53:D53"/>
    <mergeCell ref="A54:F54"/>
    <mergeCell ref="A56:D56"/>
    <mergeCell ref="A65:H65"/>
    <mergeCell ref="A66:H66"/>
    <mergeCell ref="A68:G68"/>
    <mergeCell ref="A72:H72"/>
    <mergeCell ref="A74:H74"/>
    <mergeCell ref="A16:H16"/>
    <mergeCell ref="A18:D18"/>
    <mergeCell ref="A23:H23"/>
    <mergeCell ref="A24:H24"/>
    <mergeCell ref="A26:D26"/>
    <mergeCell ref="A36:H36"/>
    <mergeCell ref="A37:H37"/>
    <mergeCell ref="A39:E39"/>
    <mergeCell ref="A43:E43"/>
    <mergeCell ref="A1:H1"/>
    <mergeCell ref="A2:H2"/>
    <mergeCell ref="A3:H3"/>
    <mergeCell ref="A5:H5"/>
    <mergeCell ref="A6:H6"/>
    <mergeCell ref="A8:H8"/>
    <mergeCell ref="A9:H9"/>
    <mergeCell ref="A11:B11"/>
    <mergeCell ref="A15:H15"/>
  </mergeCells>
  <pageMargins left="0.51180555555555496" right="0.51180555555555496" top="0.78749999999999998" bottom="0.78749999999999998" header="0.51180555555555496" footer="0.51180555555555496"/>
  <pageSetup paperSize="9" firstPageNumber="0"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57"/>
  <sheetViews>
    <sheetView showGridLines="0" zoomScaleNormal="100" workbookViewId="0">
      <selection activeCell="K131" sqref="K131"/>
    </sheetView>
  </sheetViews>
  <sheetFormatPr defaultColWidth="9.28515625" defaultRowHeight="15.75" x14ac:dyDescent="0.25"/>
  <cols>
    <col min="1" max="1" width="9.140625" style="190" customWidth="1"/>
    <col min="2" max="2" width="72.140625" style="190" customWidth="1"/>
    <col min="3" max="3" width="19.85546875" style="190" customWidth="1"/>
    <col min="4" max="4" width="17.28515625" style="190" customWidth="1"/>
    <col min="5" max="5" width="12.7109375" style="190" customWidth="1"/>
    <col min="6" max="6" width="12" style="190" customWidth="1"/>
    <col min="7" max="7" width="15.140625" style="190" customWidth="1"/>
    <col min="8" max="64" width="9.140625" style="190" customWidth="1"/>
  </cols>
  <sheetData>
    <row r="1" spans="1:9" ht="23.25" x14ac:dyDescent="0.35">
      <c r="A1" s="308" t="s">
        <v>0</v>
      </c>
      <c r="B1" s="308"/>
      <c r="C1" s="308"/>
      <c r="D1" s="308"/>
    </row>
    <row r="2" spans="1:9" ht="23.25" x14ac:dyDescent="0.35">
      <c r="A2" s="329"/>
      <c r="B2" s="329"/>
      <c r="C2" s="329"/>
      <c r="D2" s="329"/>
    </row>
    <row r="3" spans="1:9" x14ac:dyDescent="0.25">
      <c r="A3" s="330" t="s">
        <v>366</v>
      </c>
      <c r="B3" s="330"/>
      <c r="C3" s="330"/>
      <c r="D3" s="330"/>
    </row>
    <row r="4" spans="1:9" x14ac:dyDescent="0.25">
      <c r="A4" s="191" t="s">
        <v>306</v>
      </c>
      <c r="B4" s="192"/>
      <c r="C4" s="192"/>
      <c r="D4" s="192"/>
    </row>
    <row r="5" spans="1:9" ht="16.5" thickBot="1" x14ac:dyDescent="0.3">
      <c r="A5" s="193"/>
      <c r="B5" s="192"/>
      <c r="C5" s="192"/>
      <c r="D5" s="192"/>
    </row>
    <row r="6" spans="1:9" ht="16.5" thickBot="1" x14ac:dyDescent="0.3">
      <c r="A6" s="331" t="s">
        <v>223</v>
      </c>
      <c r="B6" s="332"/>
      <c r="C6" s="332"/>
      <c r="D6" s="333"/>
      <c r="E6" s="194"/>
      <c r="F6" s="194"/>
      <c r="G6" s="194"/>
      <c r="H6" s="194"/>
      <c r="I6" s="194"/>
    </row>
    <row r="7" spans="1:9" x14ac:dyDescent="0.25">
      <c r="A7" s="306" t="s">
        <v>224</v>
      </c>
      <c r="B7" s="307" t="s">
        <v>225</v>
      </c>
      <c r="C7" s="334">
        <v>45429</v>
      </c>
      <c r="D7" s="334"/>
      <c r="E7" s="195"/>
      <c r="F7" s="195"/>
      <c r="G7" s="195"/>
      <c r="H7" s="335"/>
      <c r="I7" s="335"/>
    </row>
    <row r="8" spans="1:9" x14ac:dyDescent="0.25">
      <c r="A8" s="196" t="s">
        <v>226</v>
      </c>
      <c r="B8" s="197" t="s">
        <v>227</v>
      </c>
      <c r="C8" s="336" t="s">
        <v>228</v>
      </c>
      <c r="D8" s="336"/>
      <c r="F8" s="195"/>
      <c r="G8" s="195"/>
      <c r="H8" s="337"/>
      <c r="I8" s="337"/>
    </row>
    <row r="9" spans="1:9" ht="15" customHeight="1" x14ac:dyDescent="0.25">
      <c r="A9" s="196" t="s">
        <v>229</v>
      </c>
      <c r="B9" s="197" t="s">
        <v>230</v>
      </c>
      <c r="C9" s="338" t="s">
        <v>308</v>
      </c>
      <c r="D9" s="338"/>
      <c r="F9" s="195"/>
      <c r="G9" s="195"/>
      <c r="H9" s="339"/>
      <c r="I9" s="339"/>
    </row>
    <row r="10" spans="1:9" x14ac:dyDescent="0.25">
      <c r="A10" s="196" t="s">
        <v>231</v>
      </c>
      <c r="B10" s="197" t="s">
        <v>232</v>
      </c>
      <c r="C10" s="336">
        <v>12</v>
      </c>
      <c r="D10" s="336"/>
      <c r="F10" s="195"/>
      <c r="G10" s="195"/>
      <c r="H10" s="337"/>
      <c r="I10" s="337"/>
    </row>
    <row r="11" spans="1:9" x14ac:dyDescent="0.25">
      <c r="A11" s="198"/>
      <c r="B11" s="199"/>
      <c r="C11" s="199"/>
      <c r="D11" s="199"/>
      <c r="E11" s="199"/>
      <c r="F11" s="199"/>
      <c r="G11" s="199"/>
      <c r="H11" s="198"/>
      <c r="I11" s="198"/>
    </row>
    <row r="12" spans="1:9" x14ac:dyDescent="0.25">
      <c r="A12" s="340" t="s">
        <v>233</v>
      </c>
      <c r="B12" s="340"/>
      <c r="C12" s="340"/>
      <c r="D12" s="340"/>
      <c r="E12" s="194"/>
      <c r="F12" s="194"/>
      <c r="G12" s="194"/>
      <c r="H12" s="194"/>
      <c r="I12" s="194"/>
    </row>
    <row r="13" spans="1:9" x14ac:dyDescent="0.25">
      <c r="A13" s="341" t="s">
        <v>234</v>
      </c>
      <c r="B13" s="341"/>
      <c r="C13" s="200" t="s">
        <v>235</v>
      </c>
      <c r="D13" s="201" t="s">
        <v>236</v>
      </c>
      <c r="E13" s="337"/>
      <c r="F13" s="337"/>
      <c r="G13" s="337"/>
      <c r="H13" s="337"/>
      <c r="I13" s="337"/>
    </row>
    <row r="14" spans="1:9" ht="63" customHeight="1" x14ac:dyDescent="0.25">
      <c r="A14" s="342" t="s">
        <v>309</v>
      </c>
      <c r="B14" s="342"/>
      <c r="C14" s="196" t="s">
        <v>237</v>
      </c>
      <c r="D14" s="196">
        <v>2</v>
      </c>
      <c r="E14" s="337"/>
      <c r="F14" s="337"/>
      <c r="G14" s="337"/>
      <c r="H14" s="337"/>
      <c r="I14" s="337"/>
    </row>
    <row r="15" spans="1:9" x14ac:dyDescent="0.25">
      <c r="A15" s="192"/>
      <c r="B15" s="192"/>
      <c r="C15" s="192"/>
      <c r="D15" s="192"/>
    </row>
    <row r="18" spans="1:3" x14ac:dyDescent="0.25">
      <c r="A18" s="340" t="s">
        <v>238</v>
      </c>
      <c r="B18" s="340"/>
      <c r="C18" s="340"/>
    </row>
    <row r="20" spans="1:3" x14ac:dyDescent="0.25">
      <c r="A20" s="202">
        <v>1</v>
      </c>
      <c r="B20" s="203" t="s">
        <v>239</v>
      </c>
      <c r="C20" s="203" t="s">
        <v>240</v>
      </c>
    </row>
    <row r="21" spans="1:3" x14ac:dyDescent="0.25">
      <c r="A21" s="204" t="s">
        <v>224</v>
      </c>
      <c r="B21" s="205" t="s">
        <v>241</v>
      </c>
      <c r="C21" s="220">
        <v>1497.24</v>
      </c>
    </row>
    <row r="22" spans="1:3" x14ac:dyDescent="0.25">
      <c r="A22" s="204" t="s">
        <v>226</v>
      </c>
      <c r="B22" s="205" t="s">
        <v>242</v>
      </c>
      <c r="C22" s="220">
        <v>0</v>
      </c>
    </row>
    <row r="23" spans="1:3" x14ac:dyDescent="0.25">
      <c r="A23" s="204" t="s">
        <v>229</v>
      </c>
      <c r="B23" s="205" t="s">
        <v>243</v>
      </c>
      <c r="C23" s="220">
        <v>0</v>
      </c>
    </row>
    <row r="24" spans="1:3" x14ac:dyDescent="0.25">
      <c r="A24" s="204" t="s">
        <v>231</v>
      </c>
      <c r="B24" s="205" t="s">
        <v>31</v>
      </c>
      <c r="C24" s="220">
        <v>0</v>
      </c>
    </row>
    <row r="25" spans="1:3" x14ac:dyDescent="0.25">
      <c r="A25" s="204" t="s">
        <v>244</v>
      </c>
      <c r="B25" s="205" t="s">
        <v>245</v>
      </c>
      <c r="C25" s="220">
        <v>0</v>
      </c>
    </row>
    <row r="26" spans="1:3" x14ac:dyDescent="0.25">
      <c r="A26" s="204"/>
      <c r="B26" s="205"/>
      <c r="C26" s="220"/>
    </row>
    <row r="27" spans="1:3" x14ac:dyDescent="0.25">
      <c r="A27" s="204" t="s">
        <v>246</v>
      </c>
      <c r="B27" s="205" t="s">
        <v>247</v>
      </c>
      <c r="C27" s="220"/>
    </row>
    <row r="28" spans="1:3" ht="15" customHeight="1" x14ac:dyDescent="0.25">
      <c r="A28" s="343" t="s">
        <v>41</v>
      </c>
      <c r="B28" s="343"/>
      <c r="C28" s="220">
        <f>C21</f>
        <v>1497.24</v>
      </c>
    </row>
    <row r="31" spans="1:3" x14ac:dyDescent="0.25">
      <c r="A31" s="340" t="s">
        <v>248</v>
      </c>
      <c r="B31" s="340"/>
      <c r="C31" s="340"/>
    </row>
    <row r="32" spans="1:3" x14ac:dyDescent="0.25">
      <c r="A32" s="208"/>
    </row>
    <row r="33" spans="1:4" x14ac:dyDescent="0.25">
      <c r="A33" s="344" t="s">
        <v>249</v>
      </c>
      <c r="B33" s="344"/>
      <c r="C33" s="344"/>
    </row>
    <row r="35" spans="1:4" x14ac:dyDescent="0.25">
      <c r="A35" s="202" t="s">
        <v>250</v>
      </c>
      <c r="B35" s="203" t="s">
        <v>251</v>
      </c>
      <c r="C35" s="203" t="s">
        <v>240</v>
      </c>
    </row>
    <row r="36" spans="1:4" x14ac:dyDescent="0.25">
      <c r="A36" s="204" t="s">
        <v>224</v>
      </c>
      <c r="B36" s="205" t="s">
        <v>252</v>
      </c>
      <c r="C36" s="220">
        <f>C28/12</f>
        <v>124.77</v>
      </c>
    </row>
    <row r="37" spans="1:4" x14ac:dyDescent="0.25">
      <c r="A37" s="204" t="s">
        <v>226</v>
      </c>
      <c r="B37" s="205" t="s">
        <v>253</v>
      </c>
      <c r="C37" s="206">
        <f>C36+C36/3</f>
        <v>166.35999999999999</v>
      </c>
      <c r="D37" s="221"/>
    </row>
    <row r="38" spans="1:4" ht="15" customHeight="1" x14ac:dyDescent="0.25">
      <c r="A38" s="343" t="s">
        <v>41</v>
      </c>
      <c r="B38" s="343"/>
      <c r="C38" s="206">
        <f>C36+C37</f>
        <v>291.13</v>
      </c>
    </row>
    <row r="41" spans="1:4" ht="32.25" customHeight="1" x14ac:dyDescent="0.25">
      <c r="A41" s="345" t="s">
        <v>254</v>
      </c>
      <c r="B41" s="345"/>
      <c r="C41" s="345"/>
      <c r="D41" s="345"/>
    </row>
    <row r="43" spans="1:4" x14ac:dyDescent="0.25">
      <c r="A43" s="202" t="s">
        <v>255</v>
      </c>
      <c r="B43" s="203" t="s">
        <v>256</v>
      </c>
      <c r="C43" s="203" t="s">
        <v>257</v>
      </c>
      <c r="D43" s="203" t="s">
        <v>240</v>
      </c>
    </row>
    <row r="44" spans="1:4" x14ac:dyDescent="0.25">
      <c r="A44" s="204" t="s">
        <v>224</v>
      </c>
      <c r="B44" s="205" t="s">
        <v>258</v>
      </c>
      <c r="C44" s="209">
        <v>0.2</v>
      </c>
      <c r="D44" s="206">
        <f>($C$28+$C$38)*C44</f>
        <v>357.67399999999998</v>
      </c>
    </row>
    <row r="45" spans="1:4" x14ac:dyDescent="0.25">
      <c r="A45" s="204" t="s">
        <v>226</v>
      </c>
      <c r="B45" s="205" t="s">
        <v>259</v>
      </c>
      <c r="C45" s="209">
        <v>2.5000000000000001E-2</v>
      </c>
      <c r="D45" s="206">
        <f t="shared" ref="D45:D51" si="0">($C$28+$C$38)*C45</f>
        <v>44.709249999999997</v>
      </c>
    </row>
    <row r="46" spans="1:4" x14ac:dyDescent="0.25">
      <c r="A46" s="204" t="s">
        <v>229</v>
      </c>
      <c r="B46" s="205" t="s">
        <v>307</v>
      </c>
      <c r="C46" s="223">
        <v>0.03</v>
      </c>
      <c r="D46" s="206">
        <f>($C$28+$C$38)*C46</f>
        <v>53.651099999999992</v>
      </c>
    </row>
    <row r="47" spans="1:4" x14ac:dyDescent="0.25">
      <c r="A47" s="204" t="s">
        <v>231</v>
      </c>
      <c r="B47" s="205" t="s">
        <v>260</v>
      </c>
      <c r="C47" s="209">
        <v>1.4999999999999999E-2</v>
      </c>
      <c r="D47" s="206">
        <f t="shared" si="0"/>
        <v>26.825549999999996</v>
      </c>
    </row>
    <row r="48" spans="1:4" x14ac:dyDescent="0.25">
      <c r="A48" s="204" t="s">
        <v>244</v>
      </c>
      <c r="B48" s="205" t="s">
        <v>261</v>
      </c>
      <c r="C48" s="209">
        <v>0.01</v>
      </c>
      <c r="D48" s="206">
        <f t="shared" si="0"/>
        <v>17.883700000000001</v>
      </c>
    </row>
    <row r="49" spans="1:4" x14ac:dyDescent="0.25">
      <c r="A49" s="204" t="s">
        <v>262</v>
      </c>
      <c r="B49" s="205" t="s">
        <v>63</v>
      </c>
      <c r="C49" s="209">
        <v>6.0000000000000001E-3</v>
      </c>
      <c r="D49" s="206">
        <f t="shared" si="0"/>
        <v>10.730219999999999</v>
      </c>
    </row>
    <row r="50" spans="1:4" x14ac:dyDescent="0.25">
      <c r="A50" s="204" t="s">
        <v>246</v>
      </c>
      <c r="B50" s="205" t="s">
        <v>64</v>
      </c>
      <c r="C50" s="209">
        <v>2E-3</v>
      </c>
      <c r="D50" s="206">
        <f t="shared" si="0"/>
        <v>3.57674</v>
      </c>
    </row>
    <row r="51" spans="1:4" x14ac:dyDescent="0.25">
      <c r="A51" s="204" t="s">
        <v>263</v>
      </c>
      <c r="B51" s="205" t="s">
        <v>65</v>
      </c>
      <c r="C51" s="209">
        <v>0.08</v>
      </c>
      <c r="D51" s="206">
        <f t="shared" si="0"/>
        <v>143.06960000000001</v>
      </c>
    </row>
    <row r="52" spans="1:4" ht="15" customHeight="1" x14ac:dyDescent="0.25">
      <c r="A52" s="343" t="s">
        <v>264</v>
      </c>
      <c r="B52" s="343"/>
      <c r="C52" s="209">
        <f>SUM(C44:C51)</f>
        <v>0.36800000000000005</v>
      </c>
      <c r="D52" s="206">
        <f>SUM(D44:D51)</f>
        <v>658.12015999999994</v>
      </c>
    </row>
    <row r="55" spans="1:4" x14ac:dyDescent="0.25">
      <c r="A55" s="344" t="s">
        <v>265</v>
      </c>
      <c r="B55" s="344"/>
      <c r="C55" s="344"/>
    </row>
    <row r="57" spans="1:4" x14ac:dyDescent="0.25">
      <c r="A57" s="202" t="s">
        <v>266</v>
      </c>
      <c r="B57" s="203" t="s">
        <v>267</v>
      </c>
      <c r="C57" s="203" t="s">
        <v>240</v>
      </c>
    </row>
    <row r="58" spans="1:4" x14ac:dyDescent="0.25">
      <c r="A58" s="204" t="s">
        <v>224</v>
      </c>
      <c r="B58" s="205" t="s">
        <v>367</v>
      </c>
      <c r="C58" s="206">
        <f>(3.7*2*22)-(C28*0.06)</f>
        <v>72.965600000000009</v>
      </c>
    </row>
    <row r="59" spans="1:4" x14ac:dyDescent="0.25">
      <c r="A59" s="204" t="s">
        <v>226</v>
      </c>
      <c r="B59" s="205" t="s">
        <v>368</v>
      </c>
      <c r="C59" s="206">
        <v>550</v>
      </c>
    </row>
    <row r="60" spans="1:4" x14ac:dyDescent="0.25">
      <c r="A60" s="204" t="s">
        <v>229</v>
      </c>
      <c r="B60" s="205" t="s">
        <v>96</v>
      </c>
      <c r="C60" s="207">
        <v>19.8</v>
      </c>
    </row>
    <row r="61" spans="1:4" x14ac:dyDescent="0.25">
      <c r="A61" s="204" t="s">
        <v>231</v>
      </c>
      <c r="B61" s="205" t="s">
        <v>247</v>
      </c>
      <c r="C61" s="207"/>
    </row>
    <row r="62" spans="1:4" ht="15" customHeight="1" x14ac:dyDescent="0.25">
      <c r="A62" s="343" t="s">
        <v>41</v>
      </c>
      <c r="B62" s="343"/>
      <c r="C62" s="206">
        <f>SUM(C58:C61)</f>
        <v>642.76559999999995</v>
      </c>
    </row>
    <row r="65" spans="1:13" x14ac:dyDescent="0.25">
      <c r="A65" s="344" t="s">
        <v>268</v>
      </c>
      <c r="B65" s="344"/>
      <c r="C65" s="344"/>
    </row>
    <row r="67" spans="1:13" x14ac:dyDescent="0.25">
      <c r="A67" s="202">
        <v>2</v>
      </c>
      <c r="B67" s="203" t="s">
        <v>269</v>
      </c>
      <c r="C67" s="203" t="s">
        <v>240</v>
      </c>
    </row>
    <row r="68" spans="1:13" x14ac:dyDescent="0.25">
      <c r="A68" s="204" t="s">
        <v>250</v>
      </c>
      <c r="B68" s="205" t="s">
        <v>251</v>
      </c>
      <c r="C68" s="206">
        <f>C38</f>
        <v>291.13</v>
      </c>
    </row>
    <row r="69" spans="1:13" x14ac:dyDescent="0.25">
      <c r="A69" s="204" t="s">
        <v>255</v>
      </c>
      <c r="B69" s="205" t="s">
        <v>256</v>
      </c>
      <c r="C69" s="206">
        <f>D52</f>
        <v>658.12015999999994</v>
      </c>
    </row>
    <row r="70" spans="1:13" x14ac:dyDescent="0.25">
      <c r="A70" s="204" t="s">
        <v>266</v>
      </c>
      <c r="B70" s="205" t="s">
        <v>267</v>
      </c>
      <c r="C70" s="206">
        <f>C62</f>
        <v>642.76559999999995</v>
      </c>
    </row>
    <row r="71" spans="1:13" ht="15" customHeight="1" x14ac:dyDescent="0.25">
      <c r="A71" s="343" t="s">
        <v>41</v>
      </c>
      <c r="B71" s="343"/>
      <c r="C71" s="206">
        <f>SUM(C68:C70)</f>
        <v>1592.0157599999998</v>
      </c>
    </row>
    <row r="72" spans="1:13" x14ac:dyDescent="0.25">
      <c r="A72" s="63"/>
    </row>
    <row r="74" spans="1:13" x14ac:dyDescent="0.25">
      <c r="A74" s="340" t="s">
        <v>270</v>
      </c>
      <c r="B74" s="340"/>
      <c r="C74" s="340"/>
    </row>
    <row r="76" spans="1:13" x14ac:dyDescent="0.25">
      <c r="A76" s="202">
        <v>3</v>
      </c>
      <c r="B76" s="203" t="s">
        <v>271</v>
      </c>
      <c r="C76" s="203" t="s">
        <v>240</v>
      </c>
    </row>
    <row r="77" spans="1:13" x14ac:dyDescent="0.25">
      <c r="A77" s="204" t="s">
        <v>224</v>
      </c>
      <c r="B77" s="210" t="s">
        <v>369</v>
      </c>
      <c r="C77" s="206">
        <f>C28*0.46%</f>
        <v>6.8873040000000003</v>
      </c>
      <c r="D77" s="349"/>
      <c r="E77" s="350"/>
      <c r="F77" s="350"/>
      <c r="G77" s="350"/>
      <c r="H77" s="350"/>
      <c r="I77" s="350"/>
      <c r="J77" s="350"/>
      <c r="K77" s="350"/>
      <c r="L77" s="350"/>
      <c r="M77" s="350"/>
    </row>
    <row r="78" spans="1:13" x14ac:dyDescent="0.25">
      <c r="A78" s="204" t="s">
        <v>226</v>
      </c>
      <c r="B78" s="210" t="s">
        <v>370</v>
      </c>
      <c r="C78" s="206">
        <f>C28*0.04%</f>
        <v>0.59889599999999998</v>
      </c>
    </row>
    <row r="79" spans="1:13" x14ac:dyDescent="0.25">
      <c r="A79" s="204" t="s">
        <v>229</v>
      </c>
      <c r="B79" s="210" t="s">
        <v>371</v>
      </c>
      <c r="C79" s="206">
        <f>(C77*0.58)</f>
        <v>3.9946363199999997</v>
      </c>
    </row>
    <row r="80" spans="1:13" ht="25.5" customHeight="1" x14ac:dyDescent="0.25">
      <c r="A80" s="204" t="s">
        <v>231</v>
      </c>
      <c r="B80" s="210" t="s">
        <v>372</v>
      </c>
      <c r="C80" s="206">
        <f>C28*1.94%</f>
        <v>29.046456000000003</v>
      </c>
      <c r="D80" s="349"/>
      <c r="E80" s="350"/>
      <c r="F80" s="350"/>
      <c r="G80" s="350"/>
      <c r="H80" s="350"/>
      <c r="I80" s="350"/>
      <c r="J80" s="350"/>
      <c r="K80" s="350"/>
      <c r="L80" s="350"/>
      <c r="M80" s="350"/>
    </row>
    <row r="81" spans="1:13" x14ac:dyDescent="0.25">
      <c r="A81" s="204" t="s">
        <v>244</v>
      </c>
      <c r="B81" s="210" t="s">
        <v>373</v>
      </c>
      <c r="C81" s="206">
        <f>C28*0.68%</f>
        <v>10.181232000000001</v>
      </c>
      <c r="D81" s="347"/>
      <c r="E81" s="348"/>
      <c r="F81" s="348"/>
      <c r="G81" s="348"/>
      <c r="H81" s="348"/>
      <c r="I81" s="348"/>
      <c r="J81" s="348"/>
      <c r="K81" s="348"/>
      <c r="L81" s="348"/>
      <c r="M81" s="348"/>
    </row>
    <row r="82" spans="1:13" x14ac:dyDescent="0.25">
      <c r="A82" s="204" t="s">
        <v>262</v>
      </c>
      <c r="B82" s="210" t="s">
        <v>374</v>
      </c>
      <c r="C82" s="206">
        <f>C80*0.58</f>
        <v>16.846944480000001</v>
      </c>
    </row>
    <row r="83" spans="1:13" ht="15" customHeight="1" x14ac:dyDescent="0.25">
      <c r="A83" s="343" t="s">
        <v>41</v>
      </c>
      <c r="B83" s="343"/>
      <c r="C83" s="206">
        <f>SUM(C77:C82)</f>
        <v>67.5554688</v>
      </c>
    </row>
    <row r="86" spans="1:13" x14ac:dyDescent="0.25">
      <c r="A86" s="340" t="s">
        <v>272</v>
      </c>
      <c r="B86" s="340"/>
      <c r="C86" s="340"/>
    </row>
    <row r="89" spans="1:13" x14ac:dyDescent="0.25">
      <c r="A89" s="344" t="s">
        <v>273</v>
      </c>
      <c r="B89" s="344"/>
      <c r="C89" s="344"/>
    </row>
    <row r="90" spans="1:13" x14ac:dyDescent="0.25">
      <c r="A90" s="208"/>
    </row>
    <row r="91" spans="1:13" x14ac:dyDescent="0.25">
      <c r="A91" s="202" t="s">
        <v>274</v>
      </c>
      <c r="B91" s="203" t="s">
        <v>275</v>
      </c>
      <c r="C91" s="203" t="s">
        <v>240</v>
      </c>
    </row>
    <row r="92" spans="1:13" x14ac:dyDescent="0.25">
      <c r="A92" s="204" t="s">
        <v>224</v>
      </c>
      <c r="B92" s="205" t="s">
        <v>141</v>
      </c>
      <c r="C92" s="206">
        <f>$C$28*8.33%</f>
        <v>124.72009199999999</v>
      </c>
    </row>
    <row r="93" spans="1:13" ht="32.25" customHeight="1" thickBot="1" x14ac:dyDescent="0.3">
      <c r="A93" s="204" t="s">
        <v>226</v>
      </c>
      <c r="B93" s="205" t="s">
        <v>275</v>
      </c>
      <c r="C93" s="206">
        <f>$C$28*2.22%</f>
        <v>33.238728000000002</v>
      </c>
      <c r="D93" s="351"/>
      <c r="E93" s="351"/>
      <c r="F93" s="351"/>
      <c r="G93" s="351"/>
      <c r="H93" s="351"/>
      <c r="I93" s="351"/>
      <c r="J93" s="351"/>
      <c r="K93" s="351"/>
      <c r="L93" s="351"/>
      <c r="M93" s="351"/>
    </row>
    <row r="94" spans="1:13" ht="36" customHeight="1" thickBot="1" x14ac:dyDescent="0.3">
      <c r="A94" s="204" t="s">
        <v>229</v>
      </c>
      <c r="B94" s="205" t="s">
        <v>375</v>
      </c>
      <c r="C94" s="206">
        <f>$C$28*0.09%</f>
        <v>1.3475159999999999</v>
      </c>
      <c r="D94" s="351"/>
      <c r="E94" s="351"/>
      <c r="F94" s="351"/>
      <c r="G94" s="351"/>
      <c r="H94" s="351"/>
      <c r="I94" s="351"/>
      <c r="J94" s="351"/>
      <c r="K94" s="351"/>
      <c r="L94" s="351"/>
      <c r="M94" s="351"/>
    </row>
    <row r="95" spans="1:13" ht="32.85" customHeight="1" thickBot="1" x14ac:dyDescent="0.3">
      <c r="A95" s="204" t="s">
        <v>231</v>
      </c>
      <c r="B95" s="205" t="s">
        <v>376</v>
      </c>
      <c r="C95" s="206">
        <f>$C$28*0.27%</f>
        <v>4.042548</v>
      </c>
      <c r="D95" s="351"/>
      <c r="E95" s="351"/>
      <c r="F95" s="351"/>
      <c r="G95" s="351"/>
      <c r="H95" s="351"/>
      <c r="I95" s="351"/>
      <c r="J95" s="351"/>
      <c r="K95" s="351"/>
      <c r="L95" s="351"/>
      <c r="M95" s="351"/>
    </row>
    <row r="96" spans="1:13" ht="26.85" customHeight="1" thickBot="1" x14ac:dyDescent="0.3">
      <c r="A96" s="204" t="s">
        <v>244</v>
      </c>
      <c r="B96" s="205" t="s">
        <v>377</v>
      </c>
      <c r="C96" s="206">
        <f>$C$28*1.66%</f>
        <v>24.854184</v>
      </c>
      <c r="D96" s="351"/>
      <c r="E96" s="351"/>
      <c r="F96" s="351"/>
      <c r="G96" s="351"/>
      <c r="H96" s="351"/>
      <c r="I96" s="351"/>
      <c r="J96" s="351"/>
      <c r="K96" s="351"/>
      <c r="L96" s="351"/>
      <c r="M96" s="351"/>
    </row>
    <row r="97" spans="1:13" ht="33.75" customHeight="1" thickBot="1" x14ac:dyDescent="0.3">
      <c r="A97" s="204" t="s">
        <v>262</v>
      </c>
      <c r="B97" s="205" t="s">
        <v>305</v>
      </c>
      <c r="C97" s="206">
        <v>0</v>
      </c>
      <c r="D97" s="349"/>
      <c r="E97" s="352"/>
      <c r="F97" s="352"/>
      <c r="G97" s="352"/>
      <c r="H97" s="352"/>
      <c r="I97" s="352"/>
      <c r="J97" s="352"/>
      <c r="K97" s="352"/>
      <c r="L97" s="352"/>
      <c r="M97" s="352"/>
    </row>
    <row r="98" spans="1:13" ht="15" customHeight="1" thickBot="1" x14ac:dyDescent="0.3">
      <c r="A98" s="343" t="s">
        <v>264</v>
      </c>
      <c r="B98" s="343"/>
      <c r="C98" s="206">
        <f>SUM(C92:C97)</f>
        <v>188.20306800000003</v>
      </c>
    </row>
    <row r="99" spans="1:13" ht="32.25" thickBot="1" x14ac:dyDescent="0.3">
      <c r="A99" s="204" t="s">
        <v>246</v>
      </c>
      <c r="B99" s="211" t="s">
        <v>304</v>
      </c>
      <c r="C99" s="206">
        <f>C98*34.8%</f>
        <v>65.494667664000005</v>
      </c>
    </row>
    <row r="100" spans="1:13" ht="15" customHeight="1" x14ac:dyDescent="0.25">
      <c r="A100" s="343" t="s">
        <v>264</v>
      </c>
      <c r="B100" s="343"/>
      <c r="C100" s="206">
        <f>C98+C99</f>
        <v>253.69773566400005</v>
      </c>
    </row>
    <row r="103" spans="1:13" x14ac:dyDescent="0.25">
      <c r="A103" s="344" t="s">
        <v>276</v>
      </c>
      <c r="B103" s="344"/>
      <c r="C103" s="344"/>
    </row>
    <row r="104" spans="1:13" x14ac:dyDescent="0.25">
      <c r="A104" s="208"/>
    </row>
    <row r="105" spans="1:13" x14ac:dyDescent="0.25">
      <c r="A105" s="202" t="s">
        <v>277</v>
      </c>
      <c r="B105" s="203" t="s">
        <v>278</v>
      </c>
      <c r="C105" s="203" t="s">
        <v>240</v>
      </c>
    </row>
    <row r="106" spans="1:13" x14ac:dyDescent="0.25">
      <c r="A106" s="204" t="s">
        <v>224</v>
      </c>
      <c r="B106" s="205" t="s">
        <v>279</v>
      </c>
      <c r="C106" s="207">
        <v>0</v>
      </c>
    </row>
    <row r="107" spans="1:13" ht="16.5" customHeight="1" x14ac:dyDescent="0.25">
      <c r="A107" s="343" t="s">
        <v>41</v>
      </c>
      <c r="B107" s="343"/>
      <c r="C107" s="207">
        <v>0</v>
      </c>
    </row>
    <row r="110" spans="1:13" x14ac:dyDescent="0.25">
      <c r="A110" s="344" t="s">
        <v>280</v>
      </c>
      <c r="B110" s="344"/>
      <c r="C110" s="344"/>
    </row>
    <row r="111" spans="1:13" x14ac:dyDescent="0.25">
      <c r="A111" s="208"/>
    </row>
    <row r="112" spans="1:13" x14ac:dyDescent="0.25">
      <c r="A112" s="202">
        <v>4</v>
      </c>
      <c r="B112" s="203" t="s">
        <v>281</v>
      </c>
      <c r="C112" s="203" t="s">
        <v>240</v>
      </c>
    </row>
    <row r="113" spans="1:3" x14ac:dyDescent="0.25">
      <c r="A113" s="204" t="s">
        <v>274</v>
      </c>
      <c r="B113" s="205" t="s">
        <v>275</v>
      </c>
      <c r="C113" s="206">
        <f>C100</f>
        <v>253.69773566400005</v>
      </c>
    </row>
    <row r="114" spans="1:3" x14ac:dyDescent="0.25">
      <c r="A114" s="204" t="s">
        <v>277</v>
      </c>
      <c r="B114" s="205" t="s">
        <v>278</v>
      </c>
      <c r="C114" s="207">
        <v>0</v>
      </c>
    </row>
    <row r="115" spans="1:3" ht="15" customHeight="1" x14ac:dyDescent="0.25">
      <c r="A115" s="343" t="s">
        <v>41</v>
      </c>
      <c r="B115" s="343"/>
      <c r="C115" s="206">
        <f>C113+C114</f>
        <v>253.69773566400005</v>
      </c>
    </row>
    <row r="118" spans="1:3" x14ac:dyDescent="0.25">
      <c r="A118" s="340" t="s">
        <v>282</v>
      </c>
      <c r="B118" s="340"/>
      <c r="C118" s="340"/>
    </row>
    <row r="120" spans="1:3" x14ac:dyDescent="0.25">
      <c r="A120" s="202">
        <v>5</v>
      </c>
      <c r="B120" s="212" t="s">
        <v>218</v>
      </c>
      <c r="C120" s="203" t="s">
        <v>240</v>
      </c>
    </row>
    <row r="121" spans="1:3" x14ac:dyDescent="0.25">
      <c r="A121" s="204" t="s">
        <v>224</v>
      </c>
      <c r="B121" s="205" t="s">
        <v>283</v>
      </c>
      <c r="C121" s="305">
        <f>Uniformes!I8</f>
        <v>60.629305555555554</v>
      </c>
    </row>
    <row r="122" spans="1:3" ht="16.5" thickBot="1" x14ac:dyDescent="0.3">
      <c r="A122" s="204" t="s">
        <v>226</v>
      </c>
      <c r="B122" s="205" t="s">
        <v>311</v>
      </c>
      <c r="C122" s="219">
        <f>Materiais!J27</f>
        <v>383.89499999999998</v>
      </c>
    </row>
    <row r="123" spans="1:3" ht="16.5" thickBot="1" x14ac:dyDescent="0.3">
      <c r="A123" s="204" t="s">
        <v>229</v>
      </c>
      <c r="B123" s="205" t="s">
        <v>312</v>
      </c>
      <c r="C123" s="219">
        <f>Materiais!G37</f>
        <v>72.665277777777774</v>
      </c>
    </row>
    <row r="124" spans="1:3" ht="16.5" thickBot="1" x14ac:dyDescent="0.3">
      <c r="A124" s="204" t="s">
        <v>231</v>
      </c>
      <c r="B124" s="205" t="s">
        <v>284</v>
      </c>
      <c r="C124" s="219">
        <f>Materiais!G5</f>
        <v>5.0311874999999997</v>
      </c>
    </row>
    <row r="125" spans="1:3" ht="28.5" x14ac:dyDescent="0.25">
      <c r="A125" s="204" t="s">
        <v>244</v>
      </c>
      <c r="B125" s="205" t="s">
        <v>310</v>
      </c>
      <c r="C125" s="219">
        <v>40</v>
      </c>
    </row>
    <row r="126" spans="1:3" ht="16.5" customHeight="1" x14ac:dyDescent="0.25">
      <c r="A126" s="343" t="s">
        <v>264</v>
      </c>
      <c r="B126" s="343"/>
      <c r="C126" s="206">
        <f>SUM(C121:C125)</f>
        <v>562.22077083333329</v>
      </c>
    </row>
    <row r="129" spans="1:4" x14ac:dyDescent="0.25">
      <c r="A129" s="340" t="s">
        <v>285</v>
      </c>
      <c r="B129" s="340"/>
      <c r="C129" s="340"/>
    </row>
    <row r="131" spans="1:4" x14ac:dyDescent="0.25">
      <c r="A131" s="202">
        <v>6</v>
      </c>
      <c r="B131" s="212" t="s">
        <v>219</v>
      </c>
      <c r="C131" s="203" t="s">
        <v>257</v>
      </c>
      <c r="D131" s="203" t="s">
        <v>240</v>
      </c>
    </row>
    <row r="132" spans="1:4" x14ac:dyDescent="0.25">
      <c r="A132" s="204" t="s">
        <v>224</v>
      </c>
      <c r="B132" s="205" t="s">
        <v>201</v>
      </c>
      <c r="C132" s="207">
        <v>3</v>
      </c>
      <c r="D132" s="213">
        <f>C153*C132%</f>
        <v>119.18189205892001</v>
      </c>
    </row>
    <row r="133" spans="1:4" x14ac:dyDescent="0.25">
      <c r="A133" s="204" t="s">
        <v>226</v>
      </c>
      <c r="B133" s="205" t="s">
        <v>203</v>
      </c>
      <c r="C133" s="207">
        <v>5.35</v>
      </c>
      <c r="D133" s="213">
        <f>(C153+D132)*C133%</f>
        <v>218.91727206355955</v>
      </c>
    </row>
    <row r="134" spans="1:4" x14ac:dyDescent="0.25">
      <c r="A134" s="204" t="s">
        <v>229</v>
      </c>
      <c r="B134" s="205" t="s">
        <v>202</v>
      </c>
      <c r="C134" s="209">
        <v>8.6499999999999994E-2</v>
      </c>
      <c r="D134" s="213">
        <f>($C$153+$D$132+$D$133)/0.9135*C134</f>
        <v>408.19562101785857</v>
      </c>
    </row>
    <row r="135" spans="1:4" ht="11.1" customHeight="1" x14ac:dyDescent="0.25">
      <c r="A135" s="204"/>
      <c r="B135" s="214" t="s">
        <v>378</v>
      </c>
      <c r="C135" s="209"/>
      <c r="D135" s="213"/>
    </row>
    <row r="136" spans="1:4" x14ac:dyDescent="0.25">
      <c r="A136" s="204"/>
      <c r="B136" s="205" t="s">
        <v>286</v>
      </c>
      <c r="C136" s="207"/>
      <c r="D136" s="206"/>
    </row>
    <row r="137" spans="1:4" x14ac:dyDescent="0.25">
      <c r="A137" s="204"/>
      <c r="B137" s="205" t="s">
        <v>287</v>
      </c>
      <c r="C137" s="207">
        <v>0.65</v>
      </c>
      <c r="D137" s="206">
        <f>($C$153+$D$132+$D$133)/0.9135*C137%</f>
        <v>30.673659382844868</v>
      </c>
    </row>
    <row r="138" spans="1:4" x14ac:dyDescent="0.25">
      <c r="A138" s="204"/>
      <c r="B138" s="205" t="s">
        <v>288</v>
      </c>
      <c r="C138" s="207">
        <v>3</v>
      </c>
      <c r="D138" s="206">
        <f>($C$153+$D$132+$D$133)/0.9135*C138%</f>
        <v>141.57073561313015</v>
      </c>
    </row>
    <row r="139" spans="1:4" x14ac:dyDescent="0.25">
      <c r="A139" s="204"/>
      <c r="B139" s="205" t="s">
        <v>289</v>
      </c>
      <c r="C139" s="207"/>
      <c r="D139" s="206"/>
    </row>
    <row r="140" spans="1:4" x14ac:dyDescent="0.25">
      <c r="A140" s="204"/>
      <c r="B140" s="205" t="s">
        <v>290</v>
      </c>
      <c r="C140" s="207"/>
      <c r="D140" s="206"/>
    </row>
    <row r="141" spans="1:4" x14ac:dyDescent="0.25">
      <c r="A141" s="204"/>
      <c r="B141" s="205" t="s">
        <v>291</v>
      </c>
      <c r="C141" s="207">
        <v>5</v>
      </c>
      <c r="D141" s="206">
        <f>($C$153+$D$132+$D$133)/0.9135*C141%</f>
        <v>235.9512260218836</v>
      </c>
    </row>
    <row r="142" spans="1:4" ht="15" customHeight="1" x14ac:dyDescent="0.25">
      <c r="A142" s="343" t="s">
        <v>264</v>
      </c>
      <c r="B142" s="343"/>
      <c r="C142" s="207">
        <v>18.440000000000001</v>
      </c>
      <c r="D142" s="206">
        <f>SUM(D132:D134)</f>
        <v>746.29478514033815</v>
      </c>
    </row>
    <row r="145" spans="1:5" x14ac:dyDescent="0.25">
      <c r="A145" s="340" t="s">
        <v>292</v>
      </c>
      <c r="B145" s="340"/>
      <c r="C145" s="340"/>
      <c r="E145" s="215"/>
    </row>
    <row r="146" spans="1:5" x14ac:dyDescent="0.25">
      <c r="E146" s="215"/>
    </row>
    <row r="147" spans="1:5" x14ac:dyDescent="0.25">
      <c r="A147" s="202"/>
      <c r="B147" s="203" t="s">
        <v>293</v>
      </c>
      <c r="C147" s="203" t="s">
        <v>240</v>
      </c>
      <c r="E147" s="215"/>
    </row>
    <row r="148" spans="1:5" x14ac:dyDescent="0.25">
      <c r="A148" s="216" t="s">
        <v>224</v>
      </c>
      <c r="B148" s="205" t="s">
        <v>238</v>
      </c>
      <c r="C148" s="217">
        <f>C28</f>
        <v>1497.24</v>
      </c>
    </row>
    <row r="149" spans="1:5" x14ac:dyDescent="0.25">
      <c r="A149" s="216" t="s">
        <v>226</v>
      </c>
      <c r="B149" s="205" t="s">
        <v>248</v>
      </c>
      <c r="C149" s="217">
        <f>C71</f>
        <v>1592.0157599999998</v>
      </c>
    </row>
    <row r="150" spans="1:5" x14ac:dyDescent="0.25">
      <c r="A150" s="216" t="s">
        <v>229</v>
      </c>
      <c r="B150" s="205" t="s">
        <v>270</v>
      </c>
      <c r="C150" s="217">
        <f>C83</f>
        <v>67.5554688</v>
      </c>
    </row>
    <row r="151" spans="1:5" x14ac:dyDescent="0.25">
      <c r="A151" s="216" t="s">
        <v>231</v>
      </c>
      <c r="B151" s="205" t="s">
        <v>272</v>
      </c>
      <c r="C151" s="217">
        <f>C115</f>
        <v>253.69773566400005</v>
      </c>
    </row>
    <row r="152" spans="1:5" x14ac:dyDescent="0.25">
      <c r="A152" s="216" t="s">
        <v>244</v>
      </c>
      <c r="B152" s="205" t="s">
        <v>282</v>
      </c>
      <c r="C152" s="217">
        <f>C126</f>
        <v>562.22077083333329</v>
      </c>
    </row>
    <row r="153" spans="1:5" ht="15" customHeight="1" x14ac:dyDescent="0.25">
      <c r="A153" s="343" t="s">
        <v>294</v>
      </c>
      <c r="B153" s="343"/>
      <c r="C153" s="217">
        <f>SUM(C148:C152)</f>
        <v>3972.7297352973337</v>
      </c>
    </row>
    <row r="154" spans="1:5" x14ac:dyDescent="0.25">
      <c r="A154" s="216" t="s">
        <v>262</v>
      </c>
      <c r="B154" s="205" t="s">
        <v>295</v>
      </c>
      <c r="C154" s="217">
        <f>D142</f>
        <v>746.29478514033815</v>
      </c>
    </row>
    <row r="155" spans="1:5" ht="15" customHeight="1" thickBot="1" x14ac:dyDescent="0.3">
      <c r="A155" s="346" t="s">
        <v>363</v>
      </c>
      <c r="B155" s="346"/>
      <c r="C155" s="302">
        <f>C153+C154</f>
        <v>4719.0245204376715</v>
      </c>
    </row>
    <row r="156" spans="1:5" ht="16.5" thickBot="1" x14ac:dyDescent="0.3">
      <c r="A156" s="346" t="s">
        <v>364</v>
      </c>
      <c r="B156" s="346"/>
      <c r="C156" s="304">
        <f>C155*12</f>
        <v>56628.294245252058</v>
      </c>
    </row>
    <row r="157" spans="1:5" ht="16.5" thickBot="1" x14ac:dyDescent="0.3">
      <c r="A157" s="346" t="s">
        <v>365</v>
      </c>
      <c r="B157" s="346"/>
      <c r="C157" s="303">
        <f>C156*2</f>
        <v>113256.58849050412</v>
      </c>
    </row>
  </sheetData>
  <mergeCells count="55">
    <mergeCell ref="A156:B156"/>
    <mergeCell ref="A157:B157"/>
    <mergeCell ref="D81:M81"/>
    <mergeCell ref="D80:M80"/>
    <mergeCell ref="D77:M77"/>
    <mergeCell ref="A142:B142"/>
    <mergeCell ref="A145:C145"/>
    <mergeCell ref="D96:M96"/>
    <mergeCell ref="A86:C86"/>
    <mergeCell ref="A89:C89"/>
    <mergeCell ref="D93:M93"/>
    <mergeCell ref="D94:M94"/>
    <mergeCell ref="D95:M95"/>
    <mergeCell ref="A153:B153"/>
    <mergeCell ref="A155:B155"/>
    <mergeCell ref="D97:M97"/>
    <mergeCell ref="A110:C110"/>
    <mergeCell ref="A115:B115"/>
    <mergeCell ref="A118:C118"/>
    <mergeCell ref="A126:B126"/>
    <mergeCell ref="A129:C129"/>
    <mergeCell ref="A98:B98"/>
    <mergeCell ref="A100:B100"/>
    <mergeCell ref="A103:C103"/>
    <mergeCell ref="A107:B107"/>
    <mergeCell ref="A62:B62"/>
    <mergeCell ref="A65:C65"/>
    <mergeCell ref="A71:B71"/>
    <mergeCell ref="A74:C74"/>
    <mergeCell ref="A83:B83"/>
    <mergeCell ref="A33:C33"/>
    <mergeCell ref="A38:B38"/>
    <mergeCell ref="A41:D41"/>
    <mergeCell ref="A52:B52"/>
    <mergeCell ref="A55:C55"/>
    <mergeCell ref="A14:B14"/>
    <mergeCell ref="E14:I14"/>
    <mergeCell ref="A18:C18"/>
    <mergeCell ref="A28:B28"/>
    <mergeCell ref="A31:C31"/>
    <mergeCell ref="C10:D10"/>
    <mergeCell ref="H10:I10"/>
    <mergeCell ref="A12:D12"/>
    <mergeCell ref="A13:B13"/>
    <mergeCell ref="E13:I13"/>
    <mergeCell ref="H7:I7"/>
    <mergeCell ref="C8:D8"/>
    <mergeCell ref="H8:I8"/>
    <mergeCell ref="C9:D9"/>
    <mergeCell ref="H9:I9"/>
    <mergeCell ref="A1:D1"/>
    <mergeCell ref="A2:D2"/>
    <mergeCell ref="A3:D3"/>
    <mergeCell ref="A6:D6"/>
    <mergeCell ref="C7:D7"/>
  </mergeCells>
  <pageMargins left="0.51180555555555496" right="0.51180555555555496" top="0.78749999999999998" bottom="0.78749999999999998" header="0.51180555555555496" footer="0.51180555555555496"/>
  <pageSetup paperSize="9" scale="64"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workbookViewId="0">
      <selection activeCell="H15" sqref="H15"/>
    </sheetView>
  </sheetViews>
  <sheetFormatPr defaultRowHeight="15" x14ac:dyDescent="0.25"/>
  <cols>
    <col min="1" max="1" width="8.85546875" customWidth="1"/>
    <col min="2" max="2" width="31.42578125" customWidth="1"/>
    <col min="3" max="3" width="16" customWidth="1"/>
    <col min="4" max="4" width="15" customWidth="1"/>
    <col min="5" max="5" width="15.5703125" customWidth="1"/>
    <col min="6" max="6" width="14.5703125" customWidth="1"/>
    <col min="7" max="7" width="14" customWidth="1"/>
    <col min="8" max="9" width="11.5703125" customWidth="1"/>
  </cols>
  <sheetData>
    <row r="1" spans="1:9" ht="15.75" x14ac:dyDescent="0.25">
      <c r="A1" s="224" t="s">
        <v>178</v>
      </c>
      <c r="B1" s="225" t="s">
        <v>297</v>
      </c>
      <c r="C1" s="225" t="s">
        <v>298</v>
      </c>
      <c r="D1" s="226" t="s">
        <v>313</v>
      </c>
      <c r="E1" s="226" t="s">
        <v>314</v>
      </c>
      <c r="F1" s="227" t="s">
        <v>315</v>
      </c>
      <c r="G1" s="227" t="s">
        <v>316</v>
      </c>
      <c r="H1" s="225" t="s">
        <v>296</v>
      </c>
      <c r="I1" s="228" t="s">
        <v>317</v>
      </c>
    </row>
    <row r="2" spans="1:9" ht="15.75" x14ac:dyDescent="0.25">
      <c r="A2" s="229">
        <v>1</v>
      </c>
      <c r="B2" s="222" t="s">
        <v>300</v>
      </c>
      <c r="C2" s="218">
        <v>4</v>
      </c>
      <c r="D2" s="230">
        <v>69.7</v>
      </c>
      <c r="E2" s="230">
        <v>69.7</v>
      </c>
      <c r="F2" s="230">
        <v>68.3</v>
      </c>
      <c r="G2" s="230">
        <v>46.89</v>
      </c>
      <c r="H2" s="230">
        <f>AVERAGE(D2:G2)</f>
        <v>63.647499999999994</v>
      </c>
      <c r="I2" s="231">
        <f>H2*C2</f>
        <v>254.58999999999997</v>
      </c>
    </row>
    <row r="3" spans="1:9" ht="15.75" x14ac:dyDescent="0.25">
      <c r="A3" s="229">
        <v>2</v>
      </c>
      <c r="B3" s="222" t="s">
        <v>301</v>
      </c>
      <c r="C3" s="218">
        <v>4</v>
      </c>
      <c r="D3" s="230">
        <v>69.900000000000006</v>
      </c>
      <c r="E3" s="230">
        <v>74.790000000000006</v>
      </c>
      <c r="F3" s="230">
        <v>68.989999999999995</v>
      </c>
      <c r="G3" s="230">
        <v>69.7</v>
      </c>
      <c r="H3" s="230">
        <f t="shared" ref="H3:H6" si="0">AVERAGE(D3:G3)</f>
        <v>70.844999999999999</v>
      </c>
      <c r="I3" s="231">
        <f t="shared" ref="I3:I6" si="1">H3*C3</f>
        <v>283.38</v>
      </c>
    </row>
    <row r="4" spans="1:9" ht="15.75" x14ac:dyDescent="0.25">
      <c r="A4" s="229">
        <v>3</v>
      </c>
      <c r="B4" s="222" t="s">
        <v>183</v>
      </c>
      <c r="C4" s="218">
        <v>2</v>
      </c>
      <c r="D4" s="230">
        <v>62.99</v>
      </c>
      <c r="E4" s="230">
        <v>59.9</v>
      </c>
      <c r="F4" s="230">
        <v>74.989999999999995</v>
      </c>
      <c r="G4" s="232">
        <v>56.69</v>
      </c>
      <c r="H4" s="230">
        <f t="shared" si="0"/>
        <v>63.642499999999998</v>
      </c>
      <c r="I4" s="231">
        <f t="shared" si="1"/>
        <v>127.285</v>
      </c>
    </row>
    <row r="5" spans="1:9" ht="15.75" x14ac:dyDescent="0.25">
      <c r="A5" s="229">
        <v>4</v>
      </c>
      <c r="B5" s="222" t="s">
        <v>302</v>
      </c>
      <c r="C5" s="218">
        <v>4</v>
      </c>
      <c r="D5" s="230">
        <v>16.899999999999999</v>
      </c>
      <c r="E5" s="230">
        <v>10.8</v>
      </c>
      <c r="F5" s="230">
        <v>9.6999999999999993</v>
      </c>
      <c r="G5" s="232" t="s">
        <v>318</v>
      </c>
      <c r="H5" s="230">
        <f t="shared" si="0"/>
        <v>12.466666666666667</v>
      </c>
      <c r="I5" s="231">
        <f t="shared" si="1"/>
        <v>49.866666666666667</v>
      </c>
    </row>
    <row r="6" spans="1:9" ht="16.5" thickBot="1" x14ac:dyDescent="0.3">
      <c r="A6" s="233">
        <v>5</v>
      </c>
      <c r="B6" s="234" t="s">
        <v>303</v>
      </c>
      <c r="C6" s="235">
        <v>1</v>
      </c>
      <c r="D6" s="236">
        <v>7.5</v>
      </c>
      <c r="E6" s="236">
        <v>16.989999999999998</v>
      </c>
      <c r="F6" s="236">
        <v>12.8</v>
      </c>
      <c r="G6" s="237" t="s">
        <v>318</v>
      </c>
      <c r="H6" s="236">
        <f t="shared" si="0"/>
        <v>12.43</v>
      </c>
      <c r="I6" s="238">
        <f t="shared" si="1"/>
        <v>12.43</v>
      </c>
    </row>
    <row r="7" spans="1:9" ht="16.5" thickBot="1" x14ac:dyDescent="0.3">
      <c r="A7" s="72"/>
      <c r="B7" s="72"/>
      <c r="C7" s="72"/>
      <c r="D7" s="239"/>
      <c r="E7" s="240"/>
      <c r="F7" s="241"/>
      <c r="G7" s="240"/>
      <c r="H7" s="242" t="s">
        <v>319</v>
      </c>
      <c r="I7" s="243">
        <f>SUM(I2:I6)</f>
        <v>727.55166666666662</v>
      </c>
    </row>
    <row r="8" spans="1:9" ht="16.5" thickBot="1" x14ac:dyDescent="0.3">
      <c r="A8" s="72"/>
      <c r="B8" s="72"/>
      <c r="C8" s="72"/>
      <c r="D8" s="72"/>
      <c r="E8" s="72"/>
      <c r="F8" s="72"/>
      <c r="G8" s="72"/>
      <c r="H8" s="244" t="s">
        <v>320</v>
      </c>
      <c r="I8" s="245">
        <f>I7/12</f>
        <v>60.629305555555554</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Normal="100" workbookViewId="0">
      <selection activeCell="K20" sqref="K20"/>
    </sheetView>
  </sheetViews>
  <sheetFormatPr defaultRowHeight="15" x14ac:dyDescent="0.25"/>
  <cols>
    <col min="1" max="1" width="8" customWidth="1"/>
    <col min="2" max="2" width="24.7109375" customWidth="1"/>
    <col min="3" max="3" width="7" customWidth="1"/>
    <col min="4" max="4" width="16.42578125" customWidth="1"/>
    <col min="5" max="5" width="17.5703125" customWidth="1"/>
    <col min="6" max="7" width="16.42578125" customWidth="1"/>
    <col min="8" max="8" width="15.42578125" customWidth="1"/>
    <col min="9" max="9" width="14.5703125" customWidth="1"/>
    <col min="10" max="10" width="12.42578125" customWidth="1"/>
    <col min="11" max="11" width="11.85546875" customWidth="1"/>
    <col min="12" max="12" width="12.85546875" customWidth="1"/>
    <col min="13" max="13" width="11.42578125" customWidth="1"/>
    <col min="14" max="14" width="21.42578125" customWidth="1"/>
    <col min="15" max="15" width="18.140625" customWidth="1"/>
  </cols>
  <sheetData>
    <row r="1" spans="1:15" ht="16.5" thickBot="1" x14ac:dyDescent="0.3">
      <c r="A1" s="246" t="s">
        <v>178</v>
      </c>
      <c r="B1" s="246" t="s">
        <v>189</v>
      </c>
      <c r="C1" s="246" t="s">
        <v>321</v>
      </c>
      <c r="D1" s="246" t="s">
        <v>322</v>
      </c>
      <c r="E1" s="246" t="s">
        <v>323</v>
      </c>
      <c r="F1" s="246" t="s">
        <v>324</v>
      </c>
      <c r="G1" s="355" t="s">
        <v>325</v>
      </c>
      <c r="H1" s="356"/>
      <c r="I1" s="246" t="s">
        <v>299</v>
      </c>
      <c r="J1" s="247"/>
      <c r="K1" s="247"/>
      <c r="L1" s="247"/>
      <c r="M1" s="247"/>
      <c r="N1" s="249" t="s">
        <v>326</v>
      </c>
      <c r="O1" s="298">
        <v>0.1</v>
      </c>
    </row>
    <row r="2" spans="1:15" ht="16.5" thickBot="1" x14ac:dyDescent="0.3">
      <c r="A2" s="357" t="s">
        <v>327</v>
      </c>
      <c r="B2" s="358"/>
      <c r="C2" s="358"/>
      <c r="D2" s="358"/>
      <c r="E2" s="358"/>
      <c r="F2" s="358"/>
      <c r="G2" s="358"/>
      <c r="H2" s="358"/>
      <c r="I2" s="358"/>
      <c r="J2" s="249" t="s">
        <v>328</v>
      </c>
      <c r="K2" s="249" t="s">
        <v>319</v>
      </c>
      <c r="L2" s="249" t="s">
        <v>317</v>
      </c>
      <c r="M2" s="249" t="s">
        <v>329</v>
      </c>
      <c r="N2" s="248" t="s">
        <v>330</v>
      </c>
      <c r="O2" s="249" t="s">
        <v>362</v>
      </c>
    </row>
    <row r="3" spans="1:15" ht="15.75" x14ac:dyDescent="0.25">
      <c r="A3" s="250">
        <v>1</v>
      </c>
      <c r="B3" s="251" t="s">
        <v>331</v>
      </c>
      <c r="C3" s="252">
        <v>1</v>
      </c>
      <c r="D3" s="253">
        <v>869</v>
      </c>
      <c r="E3" s="253">
        <v>1259.0999999999999</v>
      </c>
      <c r="F3" s="253">
        <v>1242</v>
      </c>
      <c r="G3" s="359">
        <f>AVERAGE(D3:F3)</f>
        <v>1123.3666666666666</v>
      </c>
      <c r="H3" s="360"/>
      <c r="I3" s="361"/>
      <c r="J3" s="254">
        <v>1</v>
      </c>
      <c r="K3" s="255">
        <f>J3*C3</f>
        <v>1</v>
      </c>
      <c r="L3" s="253">
        <f>K3*G3</f>
        <v>1123.3666666666666</v>
      </c>
      <c r="M3" s="253">
        <f>L3/12</f>
        <v>93.61388888888888</v>
      </c>
      <c r="N3" s="288">
        <f>M3/2</f>
        <v>46.80694444444444</v>
      </c>
      <c r="O3" s="299">
        <f>N3*O1</f>
        <v>4.6806944444444438</v>
      </c>
    </row>
    <row r="4" spans="1:15" ht="16.5" thickBot="1" x14ac:dyDescent="0.3">
      <c r="A4" s="256">
        <v>2</v>
      </c>
      <c r="B4" s="257" t="s">
        <v>332</v>
      </c>
      <c r="C4" s="258">
        <v>1</v>
      </c>
      <c r="D4" s="259">
        <v>1312.15</v>
      </c>
      <c r="E4" s="259">
        <v>1264.3499999999999</v>
      </c>
      <c r="F4" s="259">
        <v>1298.31</v>
      </c>
      <c r="G4" s="362">
        <f>AVERAGE(D4:F4)</f>
        <v>1291.6033333333332</v>
      </c>
      <c r="H4" s="363"/>
      <c r="I4" s="364"/>
      <c r="J4" s="260">
        <v>1</v>
      </c>
      <c r="K4" s="261">
        <f>J4*C4</f>
        <v>1</v>
      </c>
      <c r="L4" s="262">
        <f>K4*G4</f>
        <v>1291.6033333333332</v>
      </c>
      <c r="M4" s="262">
        <f t="shared" ref="M4" si="0">L4/12</f>
        <v>107.63361111111111</v>
      </c>
      <c r="N4" s="297">
        <f>M4/2</f>
        <v>53.816805555555554</v>
      </c>
      <c r="O4" s="300">
        <f>N4*O1</f>
        <v>5.3816805555555556</v>
      </c>
    </row>
    <row r="5" spans="1:15" ht="16.5" thickBot="1" x14ac:dyDescent="0.3">
      <c r="A5" s="365" t="s">
        <v>299</v>
      </c>
      <c r="B5" s="366"/>
      <c r="C5" s="367">
        <f>SUM(O3:O4)</f>
        <v>10.062374999999999</v>
      </c>
      <c r="D5" s="366"/>
      <c r="E5" s="368" t="s">
        <v>333</v>
      </c>
      <c r="F5" s="369"/>
      <c r="G5" s="368">
        <f>C5/2</f>
        <v>5.0311874999999997</v>
      </c>
      <c r="H5" s="367"/>
      <c r="I5" s="369"/>
      <c r="J5" s="247"/>
      <c r="K5" s="247"/>
      <c r="L5" s="247"/>
      <c r="M5" s="247"/>
      <c r="N5" s="247"/>
    </row>
    <row r="6" spans="1:15" ht="16.5" thickBot="1" x14ac:dyDescent="0.3">
      <c r="A6" s="370" t="s">
        <v>334</v>
      </c>
      <c r="B6" s="371"/>
      <c r="C6" s="371"/>
      <c r="D6" s="371"/>
      <c r="E6" s="371"/>
      <c r="F6" s="371"/>
      <c r="G6" s="371"/>
      <c r="H6" s="371"/>
      <c r="I6" s="372"/>
      <c r="J6" s="247"/>
      <c r="K6" s="247"/>
      <c r="L6" s="247"/>
      <c r="M6" s="247"/>
      <c r="N6" s="247"/>
    </row>
    <row r="7" spans="1:15" ht="16.5" thickBot="1" x14ac:dyDescent="0.3">
      <c r="A7" s="370" t="s">
        <v>335</v>
      </c>
      <c r="B7" s="371"/>
      <c r="C7" s="371"/>
      <c r="D7" s="371"/>
      <c r="E7" s="371"/>
      <c r="F7" s="371"/>
      <c r="G7" s="371"/>
      <c r="H7" s="371"/>
      <c r="I7" s="372"/>
      <c r="J7" s="247"/>
      <c r="K7" s="247"/>
      <c r="L7" s="247"/>
      <c r="M7" s="247"/>
      <c r="N7" s="247"/>
    </row>
    <row r="8" spans="1:15" ht="15.75" x14ac:dyDescent="0.25">
      <c r="A8" s="263">
        <v>1</v>
      </c>
      <c r="B8" s="264" t="s">
        <v>336</v>
      </c>
      <c r="C8" s="265">
        <v>2</v>
      </c>
      <c r="D8" s="266">
        <v>2.2999999999999998</v>
      </c>
      <c r="E8" s="266">
        <v>1.93</v>
      </c>
      <c r="F8" s="266">
        <v>1.89</v>
      </c>
      <c r="G8" s="359">
        <f t="shared" ref="G8:G15" si="1">AVERAGE(D8:F8)</f>
        <v>2.0399999999999996</v>
      </c>
      <c r="H8" s="373"/>
      <c r="I8" s="267">
        <f t="shared" ref="I8:I15" si="2">G8*C8</f>
        <v>4.0799999999999992</v>
      </c>
      <c r="J8" s="247"/>
      <c r="K8" s="247"/>
      <c r="L8" s="247"/>
      <c r="M8" s="247"/>
      <c r="N8" s="247"/>
    </row>
    <row r="9" spans="1:15" ht="15.75" x14ac:dyDescent="0.25">
      <c r="A9" s="250">
        <v>2</v>
      </c>
      <c r="B9" s="251" t="s">
        <v>337</v>
      </c>
      <c r="C9" s="252">
        <v>4</v>
      </c>
      <c r="D9" s="253">
        <v>9.1999999999999993</v>
      </c>
      <c r="E9" s="253">
        <v>6.99</v>
      </c>
      <c r="F9" s="253">
        <v>7.86</v>
      </c>
      <c r="G9" s="353">
        <f t="shared" si="1"/>
        <v>8.0166666666666657</v>
      </c>
      <c r="H9" s="354"/>
      <c r="I9" s="267">
        <f t="shared" si="2"/>
        <v>32.066666666666663</v>
      </c>
      <c r="J9" s="247"/>
      <c r="K9" s="247"/>
      <c r="L9" s="247"/>
      <c r="M9" s="247"/>
      <c r="N9" s="247"/>
    </row>
    <row r="10" spans="1:15" ht="15.75" x14ac:dyDescent="0.25">
      <c r="A10" s="250">
        <v>3</v>
      </c>
      <c r="B10" s="251" t="s">
        <v>338</v>
      </c>
      <c r="C10" s="252">
        <v>2</v>
      </c>
      <c r="D10" s="253">
        <v>3.2</v>
      </c>
      <c r="E10" s="253">
        <v>2.1800000000000002</v>
      </c>
      <c r="F10" s="253">
        <v>2.79</v>
      </c>
      <c r="G10" s="353">
        <f t="shared" si="1"/>
        <v>2.723333333333334</v>
      </c>
      <c r="H10" s="354"/>
      <c r="I10" s="267">
        <f t="shared" si="2"/>
        <v>5.4466666666666681</v>
      </c>
      <c r="J10" s="247"/>
      <c r="K10" s="247"/>
      <c r="L10" s="247"/>
      <c r="M10" s="247"/>
      <c r="N10" s="247"/>
    </row>
    <row r="11" spans="1:15" ht="15.75" x14ac:dyDescent="0.25">
      <c r="A11" s="250">
        <v>4</v>
      </c>
      <c r="B11" s="251" t="s">
        <v>339</v>
      </c>
      <c r="C11" s="252">
        <v>2</v>
      </c>
      <c r="D11" s="253">
        <v>10.57</v>
      </c>
      <c r="E11" s="253">
        <v>5.08</v>
      </c>
      <c r="F11" s="253">
        <v>7.89</v>
      </c>
      <c r="G11" s="353">
        <f t="shared" si="1"/>
        <v>7.8466666666666667</v>
      </c>
      <c r="H11" s="354"/>
      <c r="I11" s="267">
        <f t="shared" si="2"/>
        <v>15.693333333333333</v>
      </c>
      <c r="J11" s="247"/>
      <c r="K11" s="247"/>
      <c r="L11" s="247"/>
      <c r="M11" s="247"/>
      <c r="N11" s="247"/>
    </row>
    <row r="12" spans="1:15" ht="15.75" x14ac:dyDescent="0.25">
      <c r="A12" s="250">
        <v>5</v>
      </c>
      <c r="B12" s="251" t="s">
        <v>340</v>
      </c>
      <c r="C12" s="252">
        <v>4</v>
      </c>
      <c r="D12" s="253">
        <v>3.99</v>
      </c>
      <c r="E12" s="253">
        <v>4.95</v>
      </c>
      <c r="F12" s="253">
        <v>7.11</v>
      </c>
      <c r="G12" s="353">
        <f t="shared" si="1"/>
        <v>5.3500000000000005</v>
      </c>
      <c r="H12" s="354"/>
      <c r="I12" s="267">
        <f t="shared" si="2"/>
        <v>21.400000000000002</v>
      </c>
      <c r="J12" s="247"/>
      <c r="K12" s="247"/>
      <c r="L12" s="247"/>
      <c r="M12" s="247"/>
      <c r="N12" s="247"/>
    </row>
    <row r="13" spans="1:15" ht="15.75" x14ac:dyDescent="0.25">
      <c r="A13" s="250">
        <v>6</v>
      </c>
      <c r="B13" s="251" t="s">
        <v>341</v>
      </c>
      <c r="C13" s="252">
        <v>2</v>
      </c>
      <c r="D13" s="253">
        <v>4.8</v>
      </c>
      <c r="E13" s="253">
        <v>5.19</v>
      </c>
      <c r="F13" s="253">
        <v>5.22</v>
      </c>
      <c r="G13" s="353">
        <f t="shared" si="1"/>
        <v>5.07</v>
      </c>
      <c r="H13" s="354"/>
      <c r="I13" s="267">
        <f t="shared" si="2"/>
        <v>10.14</v>
      </c>
      <c r="J13" s="247"/>
      <c r="K13" s="247"/>
      <c r="L13" s="247"/>
      <c r="M13" s="247"/>
      <c r="N13" s="247"/>
    </row>
    <row r="14" spans="1:15" ht="15.75" x14ac:dyDescent="0.25">
      <c r="A14" s="250">
        <v>7</v>
      </c>
      <c r="B14" s="251" t="s">
        <v>342</v>
      </c>
      <c r="C14" s="252">
        <v>4</v>
      </c>
      <c r="D14" s="253">
        <v>1.9</v>
      </c>
      <c r="E14" s="253">
        <v>0.94</v>
      </c>
      <c r="F14" s="253">
        <v>1.84</v>
      </c>
      <c r="G14" s="353">
        <f t="shared" si="1"/>
        <v>1.5599999999999998</v>
      </c>
      <c r="H14" s="354"/>
      <c r="I14" s="267">
        <f t="shared" si="2"/>
        <v>6.2399999999999993</v>
      </c>
      <c r="J14" s="247"/>
      <c r="K14" s="247"/>
      <c r="L14" s="247"/>
      <c r="M14" s="247"/>
      <c r="N14" s="247"/>
    </row>
    <row r="15" spans="1:15" ht="16.5" thickBot="1" x14ac:dyDescent="0.3">
      <c r="A15" s="256">
        <v>8</v>
      </c>
      <c r="B15" s="257" t="s">
        <v>343</v>
      </c>
      <c r="C15" s="258">
        <v>2</v>
      </c>
      <c r="D15" s="259">
        <v>3.87</v>
      </c>
      <c r="E15" s="259">
        <v>6.99</v>
      </c>
      <c r="F15" s="259">
        <v>3.8</v>
      </c>
      <c r="G15" s="362">
        <f t="shared" si="1"/>
        <v>4.8866666666666667</v>
      </c>
      <c r="H15" s="374"/>
      <c r="I15" s="268">
        <f t="shared" si="2"/>
        <v>9.7733333333333334</v>
      </c>
      <c r="J15" s="247"/>
      <c r="K15" s="247"/>
      <c r="L15" s="247"/>
      <c r="M15" s="247"/>
      <c r="N15" s="247"/>
    </row>
    <row r="16" spans="1:15" ht="16.5" thickBot="1" x14ac:dyDescent="0.3">
      <c r="A16" s="365" t="s">
        <v>299</v>
      </c>
      <c r="B16" s="366"/>
      <c r="C16" s="368">
        <f>SUM(I8:I15)</f>
        <v>104.84</v>
      </c>
      <c r="D16" s="366"/>
      <c r="E16" s="368" t="s">
        <v>333</v>
      </c>
      <c r="F16" s="369"/>
      <c r="G16" s="368">
        <f>C16/2</f>
        <v>52.42</v>
      </c>
      <c r="H16" s="367"/>
      <c r="I16" s="369"/>
      <c r="J16" s="247"/>
      <c r="K16" s="247"/>
      <c r="L16" s="247"/>
      <c r="M16" s="247"/>
      <c r="N16" s="247"/>
    </row>
    <row r="17" spans="1:14" ht="16.5" thickBot="1" x14ac:dyDescent="0.3">
      <c r="A17" s="357" t="s">
        <v>344</v>
      </c>
      <c r="B17" s="358"/>
      <c r="C17" s="358"/>
      <c r="D17" s="358"/>
      <c r="E17" s="358"/>
      <c r="F17" s="358"/>
      <c r="G17" s="358"/>
      <c r="H17" s="358"/>
      <c r="I17" s="375"/>
      <c r="J17" s="247"/>
      <c r="K17" s="247"/>
      <c r="L17" s="247"/>
      <c r="M17" s="247"/>
      <c r="N17" s="247"/>
    </row>
    <row r="18" spans="1:14" ht="15.75" x14ac:dyDescent="0.25">
      <c r="A18" s="263">
        <v>1</v>
      </c>
      <c r="B18" s="269" t="s">
        <v>345</v>
      </c>
      <c r="C18" s="265">
        <v>3</v>
      </c>
      <c r="D18" s="266">
        <v>20.9</v>
      </c>
      <c r="E18" s="266">
        <v>17.989999999999998</v>
      </c>
      <c r="F18" s="266">
        <v>22.99</v>
      </c>
      <c r="G18" s="359">
        <f>AVERAGE(D18:F18)</f>
        <v>20.626666666666665</v>
      </c>
      <c r="H18" s="373"/>
      <c r="I18" s="267">
        <f>G18*C18</f>
        <v>61.879999999999995</v>
      </c>
      <c r="J18" s="247"/>
      <c r="K18" s="247"/>
      <c r="L18" s="247"/>
      <c r="M18" s="247"/>
      <c r="N18" s="247"/>
    </row>
    <row r="19" spans="1:14" ht="15.75" x14ac:dyDescent="0.25">
      <c r="A19" s="250">
        <v>2</v>
      </c>
      <c r="B19" s="270" t="s">
        <v>346</v>
      </c>
      <c r="C19" s="252">
        <v>2</v>
      </c>
      <c r="D19" s="253">
        <v>8.99</v>
      </c>
      <c r="E19" s="253">
        <v>11.49</v>
      </c>
      <c r="F19" s="253">
        <v>8.99</v>
      </c>
      <c r="G19" s="353">
        <f>AVERAGE(D19:F19)</f>
        <v>9.8233333333333324</v>
      </c>
      <c r="H19" s="354"/>
      <c r="I19" s="267">
        <f>G19*C19</f>
        <v>19.646666666666665</v>
      </c>
      <c r="J19" s="247"/>
      <c r="K19" s="247"/>
      <c r="L19" s="247"/>
      <c r="M19" s="247"/>
      <c r="N19" s="247"/>
    </row>
    <row r="20" spans="1:14" ht="15.75" x14ac:dyDescent="0.25">
      <c r="A20" s="250">
        <v>3</v>
      </c>
      <c r="B20" s="270" t="s">
        <v>347</v>
      </c>
      <c r="C20" s="252">
        <v>30</v>
      </c>
      <c r="D20" s="253">
        <v>11.98</v>
      </c>
      <c r="E20" s="253">
        <v>17.989999999999998</v>
      </c>
      <c r="F20" s="253">
        <v>15.99</v>
      </c>
      <c r="G20" s="353">
        <f>AVERAGE(D20:F20)</f>
        <v>15.32</v>
      </c>
      <c r="H20" s="354"/>
      <c r="I20" s="267">
        <f>G20*C20</f>
        <v>459.6</v>
      </c>
      <c r="J20" s="247"/>
      <c r="K20" s="247"/>
      <c r="L20" s="247"/>
      <c r="M20" s="247"/>
      <c r="N20" s="247"/>
    </row>
    <row r="21" spans="1:14" ht="16.5" thickBot="1" x14ac:dyDescent="0.3">
      <c r="A21" s="256">
        <v>4</v>
      </c>
      <c r="B21" s="271" t="s">
        <v>348</v>
      </c>
      <c r="C21" s="258">
        <v>8</v>
      </c>
      <c r="D21" s="259">
        <v>6.26</v>
      </c>
      <c r="E21" s="259">
        <v>12.72</v>
      </c>
      <c r="F21" s="259">
        <v>4.8499999999999996</v>
      </c>
      <c r="G21" s="362">
        <f>AVERAGE(D21:F21)</f>
        <v>7.9433333333333325</v>
      </c>
      <c r="H21" s="374"/>
      <c r="I21" s="268">
        <f>G21*C21</f>
        <v>63.54666666666666</v>
      </c>
      <c r="J21" s="247"/>
      <c r="K21" s="247"/>
      <c r="L21" s="247"/>
      <c r="M21" s="247"/>
      <c r="N21" s="247"/>
    </row>
    <row r="22" spans="1:14" ht="16.5" thickBot="1" x14ac:dyDescent="0.3">
      <c r="A22" s="365" t="s">
        <v>299</v>
      </c>
      <c r="B22" s="366"/>
      <c r="C22" s="368">
        <f>SUM(I18:I21)</f>
        <v>604.67333333333329</v>
      </c>
      <c r="D22" s="369"/>
      <c r="E22" s="368" t="s">
        <v>333</v>
      </c>
      <c r="F22" s="369"/>
      <c r="G22" s="368">
        <f>C22/2</f>
        <v>302.33666666666664</v>
      </c>
      <c r="H22" s="367"/>
      <c r="I22" s="369"/>
      <c r="J22" s="247"/>
      <c r="K22" s="247"/>
      <c r="L22" s="247"/>
      <c r="M22" s="247"/>
      <c r="N22" s="247"/>
    </row>
    <row r="23" spans="1:14" ht="16.5" thickBot="1" x14ac:dyDescent="0.3">
      <c r="A23" s="357" t="s">
        <v>349</v>
      </c>
      <c r="B23" s="358"/>
      <c r="C23" s="358"/>
      <c r="D23" s="358"/>
      <c r="E23" s="358"/>
      <c r="F23" s="358"/>
      <c r="G23" s="358"/>
      <c r="H23" s="358"/>
      <c r="I23" s="375"/>
      <c r="J23" s="247"/>
      <c r="K23" s="247"/>
      <c r="L23" s="247"/>
      <c r="M23" s="247"/>
      <c r="N23" s="247"/>
    </row>
    <row r="24" spans="1:14" ht="15.75" x14ac:dyDescent="0.25">
      <c r="A24" s="250">
        <v>1</v>
      </c>
      <c r="B24" s="272" t="s">
        <v>350</v>
      </c>
      <c r="C24" s="273">
        <v>5</v>
      </c>
      <c r="D24" s="274">
        <v>6.49</v>
      </c>
      <c r="E24" s="274">
        <v>4</v>
      </c>
      <c r="F24" s="274">
        <v>4.59</v>
      </c>
      <c r="G24" s="378">
        <f t="shared" ref="G24:G34" si="3">AVERAGE(D24:F24)</f>
        <v>5.0266666666666664</v>
      </c>
      <c r="H24" s="379"/>
      <c r="I24" s="275">
        <f t="shared" ref="I24:I27" si="4">G24*C24</f>
        <v>25.133333333333333</v>
      </c>
      <c r="J24" s="247"/>
      <c r="K24" s="247"/>
      <c r="L24" s="247"/>
      <c r="M24" s="247"/>
      <c r="N24" s="247"/>
    </row>
    <row r="25" spans="1:14" ht="15.75" x14ac:dyDescent="0.25">
      <c r="A25" s="250">
        <v>2</v>
      </c>
      <c r="B25" s="272" t="s">
        <v>351</v>
      </c>
      <c r="C25" s="273">
        <v>3</v>
      </c>
      <c r="D25" s="274">
        <v>2.11</v>
      </c>
      <c r="E25" s="274">
        <v>4.5</v>
      </c>
      <c r="F25" s="274">
        <v>6.49</v>
      </c>
      <c r="G25" s="378">
        <f t="shared" si="3"/>
        <v>4.3666666666666663</v>
      </c>
      <c r="H25" s="379"/>
      <c r="I25" s="275">
        <f t="shared" si="4"/>
        <v>13.099999999999998</v>
      </c>
      <c r="J25" s="247"/>
      <c r="K25" s="247"/>
      <c r="L25" s="247"/>
      <c r="M25" s="247"/>
      <c r="N25" s="247"/>
    </row>
    <row r="26" spans="1:14" ht="16.5" thickBot="1" x14ac:dyDescent="0.3">
      <c r="A26" s="250">
        <v>3</v>
      </c>
      <c r="B26" s="270" t="s">
        <v>352</v>
      </c>
      <c r="C26" s="252">
        <v>5</v>
      </c>
      <c r="D26" s="253">
        <v>2.9</v>
      </c>
      <c r="E26" s="253">
        <v>2</v>
      </c>
      <c r="F26" s="253">
        <v>1.89</v>
      </c>
      <c r="G26" s="353">
        <f t="shared" si="3"/>
        <v>2.2633333333333332</v>
      </c>
      <c r="H26" s="354"/>
      <c r="I26" s="267">
        <f t="shared" si="4"/>
        <v>11.316666666666666</v>
      </c>
      <c r="J26" s="247"/>
      <c r="K26" s="247"/>
      <c r="L26" s="247"/>
      <c r="M26" s="247"/>
      <c r="N26" s="247"/>
    </row>
    <row r="27" spans="1:14" ht="16.5" thickBot="1" x14ac:dyDescent="0.3">
      <c r="A27" s="276">
        <v>4</v>
      </c>
      <c r="B27" s="277" t="s">
        <v>353</v>
      </c>
      <c r="C27" s="278">
        <v>2</v>
      </c>
      <c r="D27" s="262">
        <v>4.8499999999999996</v>
      </c>
      <c r="E27" s="262">
        <v>3.47</v>
      </c>
      <c r="F27" s="262">
        <v>4.7699999999999996</v>
      </c>
      <c r="G27" s="362">
        <f t="shared" si="3"/>
        <v>4.3633333333333333</v>
      </c>
      <c r="H27" s="374"/>
      <c r="I27" s="279">
        <f t="shared" si="4"/>
        <v>8.7266666666666666</v>
      </c>
      <c r="J27" s="301">
        <f>SUM(G16,G22,G28)</f>
        <v>383.89499999999998</v>
      </c>
      <c r="K27" s="247"/>
      <c r="L27" s="247"/>
      <c r="M27" s="247"/>
      <c r="N27" s="247"/>
    </row>
    <row r="28" spans="1:14" ht="16.5" thickBot="1" x14ac:dyDescent="0.3">
      <c r="A28" s="365" t="s">
        <v>299</v>
      </c>
      <c r="B28" s="366"/>
      <c r="C28" s="368">
        <f>SUM(I24:I27)</f>
        <v>58.276666666666664</v>
      </c>
      <c r="D28" s="366"/>
      <c r="E28" s="368" t="s">
        <v>333</v>
      </c>
      <c r="F28" s="369"/>
      <c r="G28" s="368">
        <f>C28/2</f>
        <v>29.138333333333332</v>
      </c>
      <c r="H28" s="367"/>
      <c r="I28" s="369"/>
      <c r="J28" s="247"/>
      <c r="K28" s="247"/>
      <c r="L28" s="247"/>
      <c r="M28" s="247"/>
      <c r="N28" s="247"/>
    </row>
    <row r="29" spans="1:14" ht="16.5" thickBot="1" x14ac:dyDescent="0.3">
      <c r="A29" s="355" t="s">
        <v>354</v>
      </c>
      <c r="B29" s="380"/>
      <c r="C29" s="380"/>
      <c r="D29" s="380"/>
      <c r="E29" s="380"/>
      <c r="F29" s="380"/>
      <c r="G29" s="380"/>
      <c r="H29" s="380"/>
      <c r="I29" s="380"/>
      <c r="J29" s="249" t="s">
        <v>328</v>
      </c>
      <c r="K29" s="249" t="s">
        <v>319</v>
      </c>
      <c r="L29" s="249" t="s">
        <v>317</v>
      </c>
      <c r="M29" s="247"/>
      <c r="N29" s="247"/>
    </row>
    <row r="30" spans="1:14" ht="15.75" x14ac:dyDescent="0.25">
      <c r="A30" s="263">
        <v>1</v>
      </c>
      <c r="B30" s="280" t="s">
        <v>355</v>
      </c>
      <c r="C30" s="281">
        <v>2</v>
      </c>
      <c r="D30" s="282">
        <v>114.31</v>
      </c>
      <c r="E30" s="282">
        <v>100</v>
      </c>
      <c r="F30" s="282">
        <v>121.9</v>
      </c>
      <c r="G30" s="359">
        <f>AVERAGE(D30:F30)</f>
        <v>112.07000000000001</v>
      </c>
      <c r="H30" s="373"/>
      <c r="I30" s="283">
        <f t="shared" ref="I30:I36" si="5">L30/12</f>
        <v>37.356666666666669</v>
      </c>
      <c r="J30" s="284">
        <v>2</v>
      </c>
      <c r="K30" s="285">
        <f>J30*C30</f>
        <v>4</v>
      </c>
      <c r="L30" s="286">
        <f>K30*G30</f>
        <v>448.28000000000003</v>
      </c>
      <c r="M30" s="247"/>
      <c r="N30" s="247"/>
    </row>
    <row r="31" spans="1:14" ht="15.75" x14ac:dyDescent="0.25">
      <c r="A31" s="250">
        <v>2</v>
      </c>
      <c r="B31" s="287" t="s">
        <v>356</v>
      </c>
      <c r="C31" s="252">
        <v>2</v>
      </c>
      <c r="D31" s="253">
        <v>25.91</v>
      </c>
      <c r="E31" s="253">
        <v>19.329999999999998</v>
      </c>
      <c r="F31" s="253">
        <v>14.9</v>
      </c>
      <c r="G31" s="353">
        <f>AVERAGE(D31:F31)</f>
        <v>20.046666666666663</v>
      </c>
      <c r="H31" s="354"/>
      <c r="I31" s="288">
        <f t="shared" si="5"/>
        <v>13.364444444444443</v>
      </c>
      <c r="J31" s="254">
        <v>4</v>
      </c>
      <c r="K31" s="255">
        <f>J31*C31</f>
        <v>8</v>
      </c>
      <c r="L31" s="267">
        <f>K31*G31</f>
        <v>160.37333333333331</v>
      </c>
      <c r="M31" s="247"/>
      <c r="N31" s="247"/>
    </row>
    <row r="32" spans="1:14" ht="15.75" x14ac:dyDescent="0.25">
      <c r="A32" s="250">
        <v>3</v>
      </c>
      <c r="B32" s="270" t="s">
        <v>357</v>
      </c>
      <c r="C32" s="252">
        <v>2</v>
      </c>
      <c r="D32" s="253">
        <v>12.4</v>
      </c>
      <c r="E32" s="253">
        <v>15.9</v>
      </c>
      <c r="F32" s="253">
        <v>16.510000000000002</v>
      </c>
      <c r="G32" s="353">
        <f t="shared" si="3"/>
        <v>14.936666666666667</v>
      </c>
      <c r="H32" s="354"/>
      <c r="I32" s="288">
        <f t="shared" si="5"/>
        <v>9.9577777777777783</v>
      </c>
      <c r="J32" s="250">
        <v>4</v>
      </c>
      <c r="K32" s="252">
        <f>J32*C32</f>
        <v>8</v>
      </c>
      <c r="L32" s="267">
        <f>K32*G32</f>
        <v>119.49333333333334</v>
      </c>
      <c r="M32" s="247"/>
      <c r="N32" s="247"/>
    </row>
    <row r="33" spans="1:14" ht="15.75" x14ac:dyDescent="0.25">
      <c r="A33" s="250">
        <v>4</v>
      </c>
      <c r="B33" s="270" t="s">
        <v>358</v>
      </c>
      <c r="C33" s="252">
        <v>5</v>
      </c>
      <c r="D33" s="253">
        <v>70.900000000000006</v>
      </c>
      <c r="E33" s="253">
        <v>69.900000000000006</v>
      </c>
      <c r="F33" s="253">
        <v>59.99</v>
      </c>
      <c r="G33" s="353">
        <f t="shared" si="3"/>
        <v>66.930000000000007</v>
      </c>
      <c r="H33" s="354"/>
      <c r="I33" s="288">
        <f t="shared" si="5"/>
        <v>55.775000000000006</v>
      </c>
      <c r="J33" s="250">
        <v>2</v>
      </c>
      <c r="K33" s="252">
        <f t="shared" ref="K33:K36" si="6">J33*C33</f>
        <v>10</v>
      </c>
      <c r="L33" s="267">
        <f>K33*G33</f>
        <v>669.30000000000007</v>
      </c>
      <c r="M33" s="247"/>
      <c r="N33" s="247"/>
    </row>
    <row r="34" spans="1:14" ht="15.75" x14ac:dyDescent="0.25">
      <c r="A34" s="256">
        <v>5</v>
      </c>
      <c r="B34" s="271" t="s">
        <v>359</v>
      </c>
      <c r="C34" s="258">
        <v>2</v>
      </c>
      <c r="D34" s="259">
        <v>55.99</v>
      </c>
      <c r="E34" s="259">
        <v>58.49</v>
      </c>
      <c r="F34" s="259">
        <v>66.41</v>
      </c>
      <c r="G34" s="376">
        <f t="shared" si="3"/>
        <v>60.29666666666666</v>
      </c>
      <c r="H34" s="377"/>
      <c r="I34" s="289">
        <f t="shared" si="5"/>
        <v>20.098888888888887</v>
      </c>
      <c r="J34" s="256">
        <v>2</v>
      </c>
      <c r="K34" s="258">
        <f t="shared" si="6"/>
        <v>4</v>
      </c>
      <c r="L34" s="268">
        <f t="shared" ref="L34:L36" si="7">K34*G34</f>
        <v>241.18666666666664</v>
      </c>
      <c r="M34" s="247"/>
      <c r="N34" s="247"/>
    </row>
    <row r="35" spans="1:14" ht="15.75" x14ac:dyDescent="0.25">
      <c r="A35" s="252">
        <v>6</v>
      </c>
      <c r="B35" s="270" t="s">
        <v>360</v>
      </c>
      <c r="C35" s="252">
        <v>2</v>
      </c>
      <c r="D35" s="253">
        <v>26.9</v>
      </c>
      <c r="E35" s="253">
        <v>4.8600000000000003</v>
      </c>
      <c r="F35" s="253">
        <v>13.15</v>
      </c>
      <c r="G35" s="381">
        <f>AVERAGE(D35:F35)</f>
        <v>14.969999999999999</v>
      </c>
      <c r="H35" s="381"/>
      <c r="I35" s="288">
        <f t="shared" si="5"/>
        <v>7.4849999999999994</v>
      </c>
      <c r="J35" s="250">
        <v>3</v>
      </c>
      <c r="K35" s="252">
        <f t="shared" si="6"/>
        <v>6</v>
      </c>
      <c r="L35" s="267">
        <f t="shared" si="7"/>
        <v>89.82</v>
      </c>
      <c r="M35" s="247"/>
      <c r="N35" s="247"/>
    </row>
    <row r="36" spans="1:14" ht="16.5" thickBot="1" x14ac:dyDescent="0.3">
      <c r="A36" s="258">
        <v>7</v>
      </c>
      <c r="B36" s="257" t="s">
        <v>361</v>
      </c>
      <c r="C36" s="258">
        <v>1</v>
      </c>
      <c r="D36" s="259">
        <v>17.899999999999999</v>
      </c>
      <c r="E36" s="259">
        <v>12.51</v>
      </c>
      <c r="F36" s="259">
        <v>16.13</v>
      </c>
      <c r="G36" s="382">
        <f>AVERAGE(D36:F36)</f>
        <v>15.51333333333333</v>
      </c>
      <c r="H36" s="382"/>
      <c r="I36" s="289">
        <f t="shared" si="5"/>
        <v>1.2927777777777776</v>
      </c>
      <c r="J36" s="276">
        <v>1</v>
      </c>
      <c r="K36" s="278">
        <f t="shared" si="6"/>
        <v>1</v>
      </c>
      <c r="L36" s="279">
        <f t="shared" si="7"/>
        <v>15.51333333333333</v>
      </c>
      <c r="M36" s="247"/>
      <c r="N36" s="247"/>
    </row>
    <row r="37" spans="1:14" ht="16.5" thickBot="1" x14ac:dyDescent="0.3">
      <c r="A37" s="365" t="s">
        <v>299</v>
      </c>
      <c r="B37" s="366"/>
      <c r="C37" s="368">
        <f>SUM(I30:I36)</f>
        <v>145.33055555555555</v>
      </c>
      <c r="D37" s="366"/>
      <c r="E37" s="365" t="s">
        <v>333</v>
      </c>
      <c r="F37" s="366"/>
      <c r="G37" s="368">
        <f>C37/2</f>
        <v>72.665277777777774</v>
      </c>
      <c r="H37" s="367"/>
      <c r="I37" s="369"/>
      <c r="J37" s="247"/>
      <c r="K37" s="247"/>
      <c r="L37" s="247"/>
      <c r="M37" s="247"/>
      <c r="N37" s="247"/>
    </row>
    <row r="38" spans="1:14" ht="15.75" x14ac:dyDescent="0.25">
      <c r="A38" s="296"/>
      <c r="B38" s="296"/>
      <c r="C38" s="296"/>
      <c r="D38" s="296"/>
      <c r="E38" s="296"/>
      <c r="F38" s="296"/>
      <c r="G38" s="296"/>
      <c r="H38" s="296"/>
      <c r="I38" s="296"/>
      <c r="J38" s="290"/>
      <c r="K38" s="290"/>
      <c r="L38" s="290"/>
      <c r="M38" s="247"/>
      <c r="N38" s="247"/>
    </row>
    <row r="39" spans="1:14" ht="15.75" x14ac:dyDescent="0.25">
      <c r="A39" s="291"/>
      <c r="B39" s="292"/>
      <c r="C39" s="291"/>
      <c r="D39" s="293"/>
      <c r="E39" s="293"/>
      <c r="F39" s="293"/>
      <c r="G39" s="293"/>
      <c r="H39" s="293"/>
      <c r="I39" s="293"/>
      <c r="J39" s="291"/>
      <c r="K39" s="291"/>
      <c r="L39" s="293"/>
      <c r="M39" s="247"/>
      <c r="N39" s="247"/>
    </row>
    <row r="40" spans="1:14" ht="15.75" x14ac:dyDescent="0.25">
      <c r="A40" s="291"/>
      <c r="B40" s="292"/>
      <c r="C40" s="291"/>
      <c r="D40" s="293"/>
      <c r="E40" s="293"/>
      <c r="F40" s="293"/>
      <c r="G40" s="293"/>
      <c r="H40" s="293"/>
      <c r="I40" s="293"/>
      <c r="J40" s="291"/>
      <c r="K40" s="291"/>
      <c r="L40" s="293"/>
      <c r="M40" s="247"/>
      <c r="N40" s="247"/>
    </row>
    <row r="41" spans="1:14" ht="15.75" x14ac:dyDescent="0.25">
      <c r="A41" s="291"/>
      <c r="B41" s="292"/>
      <c r="C41" s="291"/>
      <c r="D41" s="293"/>
      <c r="E41" s="293"/>
      <c r="F41" s="293"/>
      <c r="G41" s="293"/>
      <c r="H41" s="293"/>
      <c r="I41" s="293"/>
      <c r="J41" s="291"/>
      <c r="K41" s="291"/>
      <c r="L41" s="293"/>
      <c r="M41" s="247"/>
      <c r="N41" s="247"/>
    </row>
    <row r="42" spans="1:14" ht="15.75" x14ac:dyDescent="0.25">
      <c r="A42" s="291"/>
      <c r="B42" s="292"/>
      <c r="C42" s="291"/>
      <c r="D42" s="293"/>
      <c r="E42" s="293"/>
      <c r="F42" s="293"/>
      <c r="G42" s="383"/>
      <c r="H42" s="384"/>
      <c r="I42" s="293"/>
      <c r="J42" s="291"/>
      <c r="K42" s="291"/>
      <c r="L42" s="293"/>
      <c r="M42" s="247"/>
      <c r="N42" s="247"/>
    </row>
    <row r="43" spans="1:14" ht="15.75" x14ac:dyDescent="0.25">
      <c r="A43" s="291"/>
      <c r="B43" s="292"/>
      <c r="C43" s="291"/>
      <c r="D43" s="293"/>
      <c r="E43" s="293"/>
      <c r="F43" s="293"/>
      <c r="G43" s="383"/>
      <c r="H43" s="384"/>
      <c r="I43" s="293"/>
      <c r="J43" s="291"/>
      <c r="K43" s="291"/>
      <c r="L43" s="293"/>
      <c r="M43" s="247"/>
      <c r="N43" s="247"/>
    </row>
    <row r="44" spans="1:14" ht="15.75" x14ac:dyDescent="0.25">
      <c r="A44" s="385"/>
      <c r="B44" s="385"/>
      <c r="C44" s="386"/>
      <c r="D44" s="385"/>
      <c r="E44" s="385"/>
      <c r="F44" s="385"/>
      <c r="G44" s="386"/>
      <c r="H44" s="385"/>
      <c r="I44" s="385"/>
      <c r="J44" s="294"/>
      <c r="K44" s="294"/>
      <c r="L44" s="295"/>
      <c r="M44" s="247"/>
      <c r="N44" s="247"/>
    </row>
  </sheetData>
  <mergeCells count="58">
    <mergeCell ref="G42:H42"/>
    <mergeCell ref="G43:H43"/>
    <mergeCell ref="A44:B44"/>
    <mergeCell ref="C44:D44"/>
    <mergeCell ref="E44:F44"/>
    <mergeCell ref="G44:I44"/>
    <mergeCell ref="G35:H35"/>
    <mergeCell ref="G36:H36"/>
    <mergeCell ref="A37:B37"/>
    <mergeCell ref="C37:D37"/>
    <mergeCell ref="E37:F37"/>
    <mergeCell ref="G37:I37"/>
    <mergeCell ref="G21:H21"/>
    <mergeCell ref="G34:H34"/>
    <mergeCell ref="A23:I23"/>
    <mergeCell ref="G24:H24"/>
    <mergeCell ref="G25:H25"/>
    <mergeCell ref="G26:H26"/>
    <mergeCell ref="G27:H27"/>
    <mergeCell ref="A28:B28"/>
    <mergeCell ref="C28:D28"/>
    <mergeCell ref="E28:F28"/>
    <mergeCell ref="G28:I28"/>
    <mergeCell ref="A29:I29"/>
    <mergeCell ref="G30:H30"/>
    <mergeCell ref="G31:H31"/>
    <mergeCell ref="G32:H32"/>
    <mergeCell ref="G33:H33"/>
    <mergeCell ref="A22:B22"/>
    <mergeCell ref="C22:D22"/>
    <mergeCell ref="E22:F22"/>
    <mergeCell ref="G22:I22"/>
    <mergeCell ref="G12:H12"/>
    <mergeCell ref="G13:H13"/>
    <mergeCell ref="G14:H14"/>
    <mergeCell ref="G15:H15"/>
    <mergeCell ref="A16:B16"/>
    <mergeCell ref="C16:D16"/>
    <mergeCell ref="E16:F16"/>
    <mergeCell ref="G16:I16"/>
    <mergeCell ref="A17:I17"/>
    <mergeCell ref="G18:H18"/>
    <mergeCell ref="G19:H19"/>
    <mergeCell ref="G20:H20"/>
    <mergeCell ref="G11:H11"/>
    <mergeCell ref="G1:H1"/>
    <mergeCell ref="A2:I2"/>
    <mergeCell ref="G3:I3"/>
    <mergeCell ref="G4:I4"/>
    <mergeCell ref="A5:B5"/>
    <mergeCell ref="C5:D5"/>
    <mergeCell ref="E5:F5"/>
    <mergeCell ref="G5:I5"/>
    <mergeCell ref="A6:I6"/>
    <mergeCell ref="A7:I7"/>
    <mergeCell ref="G8:H8"/>
    <mergeCell ref="G9:H9"/>
    <mergeCell ref="G10:H10"/>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1159</TotalTime>
  <Application>Microsoft Excel</Application>
  <DocSecurity>0</DocSecurity>
  <ScaleCrop>false</ScaleCrop>
  <HeadingPairs>
    <vt:vector size="2" baseType="variant">
      <vt:variant>
        <vt:lpstr>Planilhas</vt:lpstr>
      </vt:variant>
      <vt:variant>
        <vt:i4>4</vt:i4>
      </vt:variant>
    </vt:vector>
  </HeadingPairs>
  <TitlesOfParts>
    <vt:vector size="4" baseType="lpstr">
      <vt:lpstr>Custo por trabalhador</vt:lpstr>
      <vt:lpstr>Planilha de Custos</vt:lpstr>
      <vt:lpstr>Uniformes</vt:lpstr>
      <vt:lpstr>Materiais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Arcangela Silva Casagrande</dc:creator>
  <dc:description/>
  <cp:lastModifiedBy>Pedro Henrique Santos Neves</cp:lastModifiedBy>
  <cp:revision>83</cp:revision>
  <cp:lastPrinted>2024-05-17T19:44:09Z</cp:lastPrinted>
  <dcterms:created xsi:type="dcterms:W3CDTF">2018-01-23T19:35:16Z</dcterms:created>
  <dcterms:modified xsi:type="dcterms:W3CDTF">2024-07-29T12:32:09Z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